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75" windowWidth="9360" windowHeight="6090" tabRatio="662" activeTab="5"/>
  </bookViews>
  <sheets>
    <sheet name="95年11-12" sheetId="1" r:id="rId1"/>
    <sheet name="96年1-2" sheetId="2" r:id="rId2"/>
    <sheet name="96年3-4" sheetId="3" r:id="rId3"/>
    <sheet name="96年5-6" sheetId="4" r:id="rId4"/>
    <sheet name="96年7-8" sheetId="5" r:id="rId5"/>
    <sheet name="96年9-10 " sheetId="6" r:id="rId6"/>
  </sheets>
  <definedNames/>
  <calcPr fullCalcOnLoad="1"/>
</workbook>
</file>

<file path=xl/sharedStrings.xml><?xml version="1.0" encoding="utf-8"?>
<sst xmlns="http://schemas.openxmlformats.org/spreadsheetml/2006/main" count="603" uniqueCount="217">
  <si>
    <t>發票回收點</t>
  </si>
  <si>
    <t>發票箱大小數</t>
  </si>
  <si>
    <t>上期未兌獎</t>
  </si>
  <si>
    <t>回收月份</t>
  </si>
  <si>
    <t>回收月份</t>
  </si>
  <si>
    <t>過期發票</t>
  </si>
  <si>
    <t>張數小計</t>
  </si>
  <si>
    <t>中獎金額</t>
  </si>
  <si>
    <t>大</t>
  </si>
  <si>
    <t>小</t>
  </si>
  <si>
    <r>
      <t>95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11~12</t>
    </r>
    <r>
      <rPr>
        <sz val="8"/>
        <rFont val="新細明體"/>
        <family val="1"/>
      </rPr>
      <t>月</t>
    </r>
  </si>
  <si>
    <t>無法對獎</t>
  </si>
  <si>
    <r>
      <t>萬海內湖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佩珊</t>
    </r>
    <r>
      <rPr>
        <sz val="10"/>
        <rFont val="Times New Roman"/>
        <family val="1"/>
      </rPr>
      <t>)</t>
    </r>
  </si>
  <si>
    <r>
      <t>萬海內湖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嘉銘</t>
    </r>
    <r>
      <rPr>
        <sz val="10"/>
        <rFont val="Times New Roman"/>
        <family val="1"/>
      </rPr>
      <t>)</t>
    </r>
  </si>
  <si>
    <r>
      <t>萬海內湖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翼如</t>
    </r>
    <r>
      <rPr>
        <sz val="10"/>
        <rFont val="Times New Roman"/>
        <family val="1"/>
      </rPr>
      <t>)</t>
    </r>
  </si>
  <si>
    <r>
      <t>萬海內湖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昌明</t>
    </r>
    <r>
      <rPr>
        <sz val="10"/>
        <rFont val="Times New Roman"/>
        <family val="1"/>
      </rPr>
      <t>)</t>
    </r>
  </si>
  <si>
    <r>
      <t>萬海內湖</t>
    </r>
    <r>
      <rPr>
        <sz val="10"/>
        <rFont val="Times New Roman"/>
        <family val="1"/>
      </rPr>
      <t>7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玉芳</t>
    </r>
    <r>
      <rPr>
        <sz val="10"/>
        <rFont val="Times New Roman"/>
        <family val="1"/>
      </rPr>
      <t>)</t>
    </r>
  </si>
  <si>
    <r>
      <t>萬海松江</t>
    </r>
    <r>
      <rPr>
        <sz val="10"/>
        <rFont val="Times New Roman"/>
        <family val="1"/>
      </rPr>
      <t>8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彩珠</t>
    </r>
    <r>
      <rPr>
        <sz val="10"/>
        <rFont val="Times New Roman"/>
        <family val="1"/>
      </rPr>
      <t>)</t>
    </r>
  </si>
  <si>
    <r>
      <t>萬海松江</t>
    </r>
    <r>
      <rPr>
        <sz val="10"/>
        <rFont val="Times New Roman"/>
        <family val="1"/>
      </rPr>
      <t>9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純真</t>
    </r>
    <r>
      <rPr>
        <sz val="10"/>
        <rFont val="Times New Roman"/>
        <family val="1"/>
      </rPr>
      <t>)</t>
    </r>
  </si>
  <si>
    <r>
      <t>萬海松江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寶合</t>
    </r>
    <r>
      <rPr>
        <sz val="10"/>
        <rFont val="Times New Roman"/>
        <family val="1"/>
      </rPr>
      <t>)</t>
    </r>
  </si>
  <si>
    <r>
      <t>萬海台中分公司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秀芳</t>
    </r>
    <r>
      <rPr>
        <sz val="10"/>
        <rFont val="Times New Roman"/>
        <family val="1"/>
      </rPr>
      <t>)</t>
    </r>
  </si>
  <si>
    <r>
      <t>萬海台中碼頭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毓珮</t>
    </r>
    <r>
      <rPr>
        <sz val="10"/>
        <rFont val="Times New Roman"/>
        <family val="1"/>
      </rPr>
      <t xml:space="preserve">) </t>
    </r>
  </si>
  <si>
    <r>
      <t>萬海高雄分公司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一秀</t>
    </r>
    <r>
      <rPr>
        <sz val="10"/>
        <rFont val="Times New Roman"/>
        <family val="1"/>
      </rPr>
      <t>)</t>
    </r>
  </si>
  <si>
    <r>
      <t>萬海高雄碼頭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昶能</t>
    </r>
    <r>
      <rPr>
        <sz val="10"/>
        <rFont val="Times New Roman"/>
        <family val="1"/>
      </rPr>
      <t>)</t>
    </r>
  </si>
  <si>
    <t>亞柏加油站小港站</t>
  </si>
  <si>
    <r>
      <t>亞柏加油站新園站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潮洲站</t>
    </r>
  </si>
  <si>
    <t>亞柏加油站岡山站</t>
  </si>
  <si>
    <t>亞柏加油站新營站</t>
  </si>
  <si>
    <t>亞柏加油站樹林站</t>
  </si>
  <si>
    <t>亞柏加油站土城站</t>
  </si>
  <si>
    <r>
      <t>POSETOP(</t>
    </r>
    <r>
      <rPr>
        <sz val="10"/>
        <rFont val="細明體"/>
        <family val="3"/>
      </rPr>
      <t>遠企</t>
    </r>
    <r>
      <rPr>
        <sz val="10"/>
        <rFont val="Times New Roman"/>
        <family val="1"/>
      </rPr>
      <t>)</t>
    </r>
  </si>
  <si>
    <r>
      <t>POSETOP(</t>
    </r>
    <r>
      <rPr>
        <sz val="10"/>
        <rFont val="細明體"/>
        <family val="3"/>
      </rPr>
      <t>中山</t>
    </r>
    <r>
      <rPr>
        <sz val="10"/>
        <rFont val="Times New Roman"/>
        <family val="1"/>
      </rPr>
      <t>)</t>
    </r>
  </si>
  <si>
    <r>
      <t>POSETOP(</t>
    </r>
    <r>
      <rPr>
        <sz val="10"/>
        <rFont val="細明體"/>
        <family val="3"/>
      </rPr>
      <t>明耀</t>
    </r>
    <r>
      <rPr>
        <sz val="10"/>
        <rFont val="Times New Roman"/>
        <family val="1"/>
      </rPr>
      <t>)</t>
    </r>
  </si>
  <si>
    <r>
      <t>POSETOP(</t>
    </r>
    <r>
      <rPr>
        <sz val="10"/>
        <rFont val="細明體"/>
        <family val="3"/>
      </rPr>
      <t>永康</t>
    </r>
    <r>
      <rPr>
        <sz val="10"/>
        <rFont val="Times New Roman"/>
        <family val="1"/>
      </rPr>
      <t>)</t>
    </r>
  </si>
  <si>
    <t>泰安產物保險館前總公司</t>
  </si>
  <si>
    <t>泰安產物保險板橋分公司</t>
  </si>
  <si>
    <t>泰安產物保險新竹分公司</t>
  </si>
  <si>
    <t>泰安產物保險台中分公司</t>
  </si>
  <si>
    <t>泰安產物保險彰化分公司</t>
  </si>
  <si>
    <t>泰安產物保險台南分公司</t>
  </si>
  <si>
    <t>泰安產物保險高雄分公司</t>
  </si>
  <si>
    <r>
      <t>八仙海岸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暫時撤點</t>
    </r>
    <r>
      <rPr>
        <sz val="10"/>
        <rFont val="Times New Roman"/>
        <family val="1"/>
      </rPr>
      <t>)</t>
    </r>
  </si>
  <si>
    <r>
      <t>亞太行動寬頻基隆信一店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楊舒君</t>
    </r>
    <r>
      <rPr>
        <sz val="10"/>
        <rFont val="Times New Roman"/>
        <family val="1"/>
      </rPr>
      <t>)</t>
    </r>
  </si>
  <si>
    <r>
      <t>亞太行動寬頻台北士林店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陳曉風</t>
    </r>
    <r>
      <rPr>
        <sz val="10"/>
        <rFont val="Times New Roman"/>
        <family val="1"/>
      </rPr>
      <t>)</t>
    </r>
  </si>
  <si>
    <t xml:space="preserve"> </t>
  </si>
  <si>
    <r>
      <t>亞太行動寬頻光復店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王聖偉</t>
    </r>
    <r>
      <rPr>
        <sz val="10"/>
        <rFont val="Times New Roman"/>
        <family val="1"/>
      </rPr>
      <t>)</t>
    </r>
  </si>
  <si>
    <r>
      <t>亞太行動寬頻美麗華摩天小屋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撤點</t>
    </r>
    <r>
      <rPr>
        <sz val="10"/>
        <rFont val="Times New Roman"/>
        <family val="1"/>
      </rPr>
      <t>)</t>
    </r>
  </si>
  <si>
    <r>
      <t>亞太行動寬頻台北南京店</t>
    </r>
    <r>
      <rPr>
        <b/>
        <i/>
        <sz val="10"/>
        <rFont val="Times New Roman"/>
        <family val="1"/>
      </rPr>
      <t>(</t>
    </r>
    <r>
      <rPr>
        <b/>
        <i/>
        <sz val="10"/>
        <rFont val="新細明體"/>
        <family val="1"/>
      </rPr>
      <t>陳怡穎</t>
    </r>
    <r>
      <rPr>
        <b/>
        <i/>
        <sz val="10"/>
        <rFont val="Times New Roman"/>
        <family val="1"/>
      </rPr>
      <t>)</t>
    </r>
  </si>
  <si>
    <r>
      <t>亞太行動寬頻永和永和店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周俊一</t>
    </r>
    <r>
      <rPr>
        <sz val="10"/>
        <rFont val="Times New Roman"/>
        <family val="1"/>
      </rPr>
      <t>)</t>
    </r>
  </si>
  <si>
    <r>
      <t>亞太行動寬頻三重重新店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邱國華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回收不高</t>
    </r>
  </si>
  <si>
    <r>
      <t>亞太行動寬頻板橋文化店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撤點</t>
    </r>
    <r>
      <rPr>
        <sz val="10"/>
        <rFont val="Times New Roman"/>
        <family val="1"/>
      </rPr>
      <t>)</t>
    </r>
  </si>
  <si>
    <r>
      <t>亞太行動寬頻新莊中正店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黃聖元</t>
    </r>
    <r>
      <rPr>
        <sz val="10"/>
        <rFont val="Times New Roman"/>
        <family val="1"/>
      </rPr>
      <t>)</t>
    </r>
  </si>
  <si>
    <r>
      <t>亞太行動寬頻桃園中山店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洪美惠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撤點</t>
    </r>
  </si>
  <si>
    <r>
      <t>亞太行動寬頻中壢中山店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劉朝明</t>
    </r>
    <r>
      <rPr>
        <sz val="10"/>
        <rFont val="Times New Roman"/>
        <family val="1"/>
      </rPr>
      <t>)</t>
    </r>
  </si>
  <si>
    <r>
      <t>亞太行動寬頻新竹中山店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王純貞</t>
    </r>
    <r>
      <rPr>
        <sz val="10"/>
        <rFont val="Times New Roman"/>
        <family val="1"/>
      </rPr>
      <t>)</t>
    </r>
  </si>
  <si>
    <r>
      <t>亞太行動寬頻苗栗竹南店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李怡瑩</t>
    </r>
    <r>
      <rPr>
        <sz val="10"/>
        <rFont val="Times New Roman"/>
        <family val="1"/>
      </rPr>
      <t>)</t>
    </r>
  </si>
  <si>
    <r>
      <t>亞太行動寬頻台中英才店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曾文利</t>
    </r>
    <r>
      <rPr>
        <sz val="10"/>
        <rFont val="Times New Roman"/>
        <family val="1"/>
      </rPr>
      <t>)</t>
    </r>
  </si>
  <si>
    <r>
      <t>亞太行動寬頻台中三民店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梁仲佑</t>
    </r>
    <r>
      <rPr>
        <sz val="10"/>
        <rFont val="Times New Roman"/>
        <family val="1"/>
      </rPr>
      <t>)</t>
    </r>
  </si>
  <si>
    <r>
      <t>亞太行動寬頻彰化中正店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劉桓佑</t>
    </r>
    <r>
      <rPr>
        <sz val="10"/>
        <rFont val="Times New Roman"/>
        <family val="1"/>
      </rPr>
      <t>)</t>
    </r>
  </si>
  <si>
    <r>
      <t>亞太行動寬頻嘉義民族店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邱秀汝</t>
    </r>
    <r>
      <rPr>
        <sz val="10"/>
        <rFont val="Times New Roman"/>
        <family val="1"/>
      </rPr>
      <t>)</t>
    </r>
  </si>
  <si>
    <r>
      <t>亞太行動寬頻台南西門店</t>
    </r>
    <r>
      <rPr>
        <b/>
        <i/>
        <sz val="10"/>
        <rFont val="Times New Roman"/>
        <family val="1"/>
      </rPr>
      <t>(</t>
    </r>
    <r>
      <rPr>
        <b/>
        <i/>
        <sz val="10"/>
        <rFont val="新細明體"/>
        <family val="1"/>
      </rPr>
      <t>董秀珠</t>
    </r>
    <r>
      <rPr>
        <b/>
        <i/>
        <sz val="10"/>
        <rFont val="Times New Roman"/>
        <family val="1"/>
      </rPr>
      <t>)</t>
    </r>
  </si>
  <si>
    <r>
      <t>亞太行動寬頻台南永康店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陳欣惠</t>
    </r>
    <r>
      <rPr>
        <sz val="10"/>
        <rFont val="Times New Roman"/>
        <family val="1"/>
      </rPr>
      <t>)</t>
    </r>
  </si>
  <si>
    <r>
      <t>亞太行動寬頻高雄五福店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王昶能</t>
    </r>
    <r>
      <rPr>
        <sz val="10"/>
        <rFont val="Times New Roman"/>
        <family val="1"/>
      </rPr>
      <t>)</t>
    </r>
  </si>
  <si>
    <r>
      <t>亞太行動寬頻高雄三多店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唐彬</t>
    </r>
    <r>
      <rPr>
        <sz val="10"/>
        <rFont val="Times New Roman"/>
        <family val="1"/>
      </rPr>
      <t>)</t>
    </r>
  </si>
  <si>
    <r>
      <t>亞太行動寬頻高雄鳳山店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高一秀</t>
    </r>
    <r>
      <rPr>
        <sz val="10"/>
        <rFont val="Times New Roman"/>
        <family val="1"/>
      </rPr>
      <t>)</t>
    </r>
  </si>
  <si>
    <r>
      <t>亞太行動寬頻屏東民生店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陳世明</t>
    </r>
    <r>
      <rPr>
        <sz val="10"/>
        <rFont val="Times New Roman"/>
        <family val="1"/>
      </rPr>
      <t>)</t>
    </r>
  </si>
  <si>
    <r>
      <t>國聯光電科技股份有限新竹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台南</t>
    </r>
  </si>
  <si>
    <t>怡安班陶氏保險經紀人</t>
  </si>
  <si>
    <t>勇誼基金會</t>
  </si>
  <si>
    <r>
      <t>詩嫚特美容</t>
    </r>
    <r>
      <rPr>
        <sz val="10"/>
        <rFont val="Times New Roman"/>
        <family val="1"/>
      </rPr>
      <t>spa</t>
    </r>
  </si>
  <si>
    <t>崴航國際股份有限公司</t>
  </si>
  <si>
    <t>馥郁牛肉乾寶慶店</t>
  </si>
  <si>
    <r>
      <t>客戶一</t>
    </r>
    <r>
      <rPr>
        <sz val="10"/>
        <rFont val="Times New Roman"/>
        <family val="1"/>
      </rPr>
      <t xml:space="preserve"> :  </t>
    </r>
    <r>
      <rPr>
        <sz val="10"/>
        <rFont val="細明體"/>
        <family val="3"/>
      </rPr>
      <t xml:space="preserve">娜亞國際有限公司
</t>
    </r>
  </si>
  <si>
    <t>客戶二 : 三菱電機--(劉家禎 7551)</t>
  </si>
  <si>
    <t>消遙海王星出版社</t>
  </si>
  <si>
    <t>內湖路水果飲料店</t>
  </si>
  <si>
    <r>
      <t>亞柏</t>
    </r>
    <r>
      <rPr>
        <sz val="10"/>
        <rFont val="Times New Roman"/>
        <family val="1"/>
      </rPr>
      <t>ez</t>
    </r>
    <r>
      <rPr>
        <sz val="10"/>
        <rFont val="細明體"/>
        <family val="3"/>
      </rPr>
      <t>購發票</t>
    </r>
  </si>
  <si>
    <t>住商不動產</t>
  </si>
  <si>
    <r>
      <t>內湖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樓</t>
    </r>
    <r>
      <rPr>
        <sz val="10"/>
        <rFont val="Times New Roman"/>
        <family val="1"/>
      </rPr>
      <t>realma</t>
    </r>
  </si>
  <si>
    <t>台實運輸</t>
  </si>
  <si>
    <t>仁和托兒所</t>
  </si>
  <si>
    <t>跑馬地茶餐廳</t>
  </si>
  <si>
    <t>小計</t>
  </si>
  <si>
    <t>特助</t>
  </si>
  <si>
    <r>
      <t>95</t>
    </r>
    <r>
      <rPr>
        <sz val="8"/>
        <color indexed="12"/>
        <rFont val="新細明體"/>
        <family val="1"/>
      </rPr>
      <t>年</t>
    </r>
    <r>
      <rPr>
        <sz val="8"/>
        <color indexed="12"/>
        <rFont val="Times New Roman"/>
        <family val="1"/>
      </rPr>
      <t>11~12</t>
    </r>
    <r>
      <rPr>
        <sz val="8"/>
        <color indexed="12"/>
        <rFont val="新細明體"/>
        <family val="1"/>
      </rPr>
      <t>月</t>
    </r>
  </si>
  <si>
    <r>
      <t>95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09~10</t>
    </r>
    <r>
      <rPr>
        <sz val="8"/>
        <rFont val="細明體"/>
        <family val="3"/>
      </rPr>
      <t>月</t>
    </r>
  </si>
  <si>
    <r>
      <t>96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01~02</t>
    </r>
    <r>
      <rPr>
        <sz val="8"/>
        <rFont val="新細明體"/>
        <family val="1"/>
      </rPr>
      <t>月</t>
    </r>
  </si>
  <si>
    <r>
      <t>2/16</t>
    </r>
    <r>
      <rPr>
        <sz val="10"/>
        <rFont val="細明體"/>
        <family val="3"/>
      </rPr>
      <t>捐血活動</t>
    </r>
  </si>
  <si>
    <r>
      <t>96</t>
    </r>
    <r>
      <rPr>
        <sz val="8"/>
        <color indexed="12"/>
        <rFont val="新細明體"/>
        <family val="1"/>
      </rPr>
      <t>年</t>
    </r>
    <r>
      <rPr>
        <sz val="8"/>
        <color indexed="12"/>
        <rFont val="Times New Roman"/>
        <family val="1"/>
      </rPr>
      <t>01~02</t>
    </r>
    <r>
      <rPr>
        <sz val="8"/>
        <color indexed="12"/>
        <rFont val="新細明體"/>
        <family val="1"/>
      </rPr>
      <t>月</t>
    </r>
  </si>
  <si>
    <r>
      <t>95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11~12</t>
    </r>
    <r>
      <rPr>
        <sz val="8"/>
        <rFont val="細明體"/>
        <family val="3"/>
      </rPr>
      <t>月</t>
    </r>
  </si>
  <si>
    <r>
      <t>96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03~04</t>
    </r>
    <r>
      <rPr>
        <sz val="8"/>
        <rFont val="新細明體"/>
        <family val="1"/>
      </rPr>
      <t>月</t>
    </r>
  </si>
  <si>
    <t>亞柏加油站虎尾站</t>
  </si>
  <si>
    <t>客戶二 : 三菱電機--(OUSTIN)</t>
  </si>
  <si>
    <t>同仁提供</t>
  </si>
  <si>
    <t>亞柏加油站鶯歌站</t>
  </si>
  <si>
    <t>亞柏加油站八卦寮站</t>
  </si>
  <si>
    <t>亞柏加油站仁武站</t>
  </si>
  <si>
    <t>亞柏加油站虎尾站</t>
  </si>
  <si>
    <t>亞柏加油站新營站</t>
  </si>
  <si>
    <t>亞柏加油站岡山站</t>
  </si>
  <si>
    <t>亞柏加油站土城站</t>
  </si>
  <si>
    <t>亞柏加油站小港站</t>
  </si>
  <si>
    <t>亞柏加油站樹林站</t>
  </si>
  <si>
    <r>
      <t>亞柏加油站新園站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潮洲站</t>
    </r>
  </si>
  <si>
    <r>
      <t>96</t>
    </r>
    <r>
      <rPr>
        <sz val="8"/>
        <color indexed="12"/>
        <rFont val="新細明體"/>
        <family val="1"/>
      </rPr>
      <t>年</t>
    </r>
    <r>
      <rPr>
        <sz val="8"/>
        <color indexed="12"/>
        <rFont val="Times New Roman"/>
        <family val="1"/>
      </rPr>
      <t>03~04</t>
    </r>
    <r>
      <rPr>
        <sz val="8"/>
        <color indexed="12"/>
        <rFont val="新細明體"/>
        <family val="1"/>
      </rPr>
      <t>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</si>
  <si>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01~02</t>
    </r>
    <r>
      <rPr>
        <sz val="8"/>
        <rFont val="細明體"/>
        <family val="3"/>
      </rPr>
      <t>月</t>
    </r>
  </si>
  <si>
    <r>
      <t>96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05~06</t>
    </r>
    <r>
      <rPr>
        <sz val="8"/>
        <rFont val="新細明體"/>
        <family val="1"/>
      </rPr>
      <t>月</t>
    </r>
  </si>
  <si>
    <t>客戶二 : 三菱電機--(OUSTIN)新韋</t>
  </si>
  <si>
    <t>台隆手創館</t>
  </si>
  <si>
    <t>平均每張金額</t>
  </si>
  <si>
    <t>零錢捐</t>
  </si>
  <si>
    <t>福客多便利商店</t>
  </si>
  <si>
    <t>現金</t>
  </si>
  <si>
    <r>
      <t>96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05~06</t>
    </r>
    <r>
      <rPr>
        <sz val="8"/>
        <color indexed="12"/>
        <rFont val="細明體"/>
        <family val="3"/>
      </rPr>
      <t>月</t>
    </r>
  </si>
  <si>
    <r>
      <t>96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07~08</t>
    </r>
    <r>
      <rPr>
        <sz val="8"/>
        <rFont val="新細明體"/>
        <family val="1"/>
      </rPr>
      <t>月</t>
    </r>
  </si>
  <si>
    <t>台碁物流</t>
  </si>
  <si>
    <t>吉洋船務</t>
  </si>
  <si>
    <r>
      <t>同仁捐贈</t>
    </r>
    <r>
      <rPr>
        <sz val="10"/>
        <rFont val="Times New Roman"/>
        <family val="1"/>
      </rPr>
      <t>rita</t>
    </r>
  </si>
  <si>
    <t>中獎金額稅</t>
  </si>
  <si>
    <r>
      <t>96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07~08</t>
    </r>
    <r>
      <rPr>
        <sz val="8"/>
        <color indexed="12"/>
        <rFont val="細明體"/>
        <family val="3"/>
      </rPr>
      <t>月</t>
    </r>
  </si>
  <si>
    <r>
      <t>96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09~10</t>
    </r>
    <r>
      <rPr>
        <sz val="8"/>
        <rFont val="新細明體"/>
        <family val="1"/>
      </rPr>
      <t>月</t>
    </r>
  </si>
  <si>
    <r>
      <t>萬海內湖</t>
    </r>
    <r>
      <rPr>
        <sz val="10"/>
        <rFont val="Times New Roman"/>
        <family val="1"/>
      </rPr>
      <t>12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玉芳</t>
    </r>
    <r>
      <rPr>
        <sz val="10"/>
        <rFont val="Times New Roman"/>
        <family val="1"/>
      </rPr>
      <t>)</t>
    </r>
  </si>
  <si>
    <r>
      <t>零錢捐</t>
    </r>
    <r>
      <rPr>
        <sz val="12"/>
        <rFont val="Times New Roman"/>
        <family val="1"/>
      </rPr>
      <t>66</t>
    </r>
  </si>
  <si>
    <r>
      <t>9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日</t>
    </r>
  </si>
  <si>
    <t>晶元光電竹科二廠</t>
  </si>
  <si>
    <t>港務局</t>
  </si>
  <si>
    <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日</t>
    </r>
  </si>
  <si>
    <t>發票回收點</t>
  </si>
  <si>
    <t>發票箱大小數</t>
  </si>
  <si>
    <t>過期發票</t>
  </si>
  <si>
    <t>張數小計</t>
  </si>
  <si>
    <t>中獎金額</t>
  </si>
  <si>
    <t>現金</t>
  </si>
  <si>
    <t>大</t>
  </si>
  <si>
    <t>小</t>
  </si>
  <si>
    <t>無法對獎</t>
  </si>
  <si>
    <t>亞柏加油站鶯歌站</t>
  </si>
  <si>
    <t>亞柏加油站虎尾站</t>
  </si>
  <si>
    <t>亞柏加油站八卦寮站</t>
  </si>
  <si>
    <t>亞柏加油站仁武站</t>
  </si>
  <si>
    <t>泰安產物保險館前總公司</t>
  </si>
  <si>
    <t xml:space="preserve"> </t>
  </si>
  <si>
    <t>晶元光電竹科二廠</t>
  </si>
  <si>
    <t>怡安班陶氏保險經紀人</t>
  </si>
  <si>
    <t>勇誼基金會</t>
  </si>
  <si>
    <t>崴航國際股份有限公司</t>
  </si>
  <si>
    <t>馥郁牛肉乾寶慶店</t>
  </si>
  <si>
    <t>客戶二 : 三菱電機--(OUSTIN)新韋</t>
  </si>
  <si>
    <t>消遙海王星出版社</t>
  </si>
  <si>
    <t>內湖路水果飲料店</t>
  </si>
  <si>
    <t>住商不動產</t>
  </si>
  <si>
    <t>台實運輸</t>
  </si>
  <si>
    <t>仁和托兒所</t>
  </si>
  <si>
    <t>跑馬地茶餐廳</t>
  </si>
  <si>
    <t>台碁物流</t>
  </si>
  <si>
    <t>吉洋船務</t>
  </si>
  <si>
    <t>台隆手創館</t>
  </si>
  <si>
    <t>福客多便利商店</t>
  </si>
  <si>
    <t>小計</t>
  </si>
  <si>
    <t>零錢捐</t>
  </si>
  <si>
    <t>特助</t>
  </si>
  <si>
    <t>平均每張金額</t>
  </si>
  <si>
    <t>中獎金額稅</t>
  </si>
  <si>
    <r>
      <t>萬海內湖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佩珊</t>
    </r>
    <r>
      <rPr>
        <sz val="10"/>
        <rFont val="Times New Roman"/>
        <family val="1"/>
      </rPr>
      <t>)</t>
    </r>
  </si>
  <si>
    <r>
      <t>萬海內湖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嘉銘</t>
    </r>
    <r>
      <rPr>
        <sz val="10"/>
        <rFont val="Times New Roman"/>
        <family val="1"/>
      </rPr>
      <t>)</t>
    </r>
  </si>
  <si>
    <r>
      <t>萬海內湖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翼如</t>
    </r>
    <r>
      <rPr>
        <sz val="10"/>
        <rFont val="Times New Roman"/>
        <family val="1"/>
      </rPr>
      <t>)</t>
    </r>
  </si>
  <si>
    <r>
      <t>萬海內湖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昌明</t>
    </r>
    <r>
      <rPr>
        <sz val="10"/>
        <rFont val="Times New Roman"/>
        <family val="1"/>
      </rPr>
      <t>)</t>
    </r>
  </si>
  <si>
    <r>
      <t>萬海內湖</t>
    </r>
    <r>
      <rPr>
        <sz val="10"/>
        <rFont val="Times New Roman"/>
        <family val="1"/>
      </rPr>
      <t>7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玉芳</t>
    </r>
    <r>
      <rPr>
        <sz val="10"/>
        <rFont val="Times New Roman"/>
        <family val="1"/>
      </rPr>
      <t>)</t>
    </r>
  </si>
  <si>
    <r>
      <t>萬海內湖</t>
    </r>
    <r>
      <rPr>
        <sz val="10"/>
        <rFont val="Times New Roman"/>
        <family val="1"/>
      </rPr>
      <t>12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玉芳</t>
    </r>
    <r>
      <rPr>
        <sz val="10"/>
        <rFont val="Times New Roman"/>
        <family val="1"/>
      </rPr>
      <t>)</t>
    </r>
  </si>
  <si>
    <r>
      <t>萬海松江</t>
    </r>
    <r>
      <rPr>
        <sz val="10"/>
        <rFont val="Times New Roman"/>
        <family val="1"/>
      </rPr>
      <t>8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彩珠</t>
    </r>
    <r>
      <rPr>
        <sz val="10"/>
        <rFont val="Times New Roman"/>
        <family val="1"/>
      </rPr>
      <t>)</t>
    </r>
  </si>
  <si>
    <r>
      <t>萬海松江</t>
    </r>
    <r>
      <rPr>
        <sz val="10"/>
        <rFont val="Times New Roman"/>
        <family val="1"/>
      </rPr>
      <t>9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純真</t>
    </r>
    <r>
      <rPr>
        <sz val="10"/>
        <rFont val="Times New Roman"/>
        <family val="1"/>
      </rPr>
      <t>)</t>
    </r>
  </si>
  <si>
    <r>
      <t>萬海松江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樓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寶合</t>
    </r>
    <r>
      <rPr>
        <sz val="10"/>
        <rFont val="Times New Roman"/>
        <family val="1"/>
      </rPr>
      <t>)</t>
    </r>
  </si>
  <si>
    <r>
      <t>萬海台中分公司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秀芳</t>
    </r>
    <r>
      <rPr>
        <sz val="10"/>
        <rFont val="Times New Roman"/>
        <family val="1"/>
      </rPr>
      <t>)</t>
    </r>
  </si>
  <si>
    <r>
      <t>萬海台中碼頭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毓珮</t>
    </r>
    <r>
      <rPr>
        <sz val="10"/>
        <rFont val="Times New Roman"/>
        <family val="1"/>
      </rPr>
      <t xml:space="preserve">) </t>
    </r>
  </si>
  <si>
    <r>
      <t>萬海高雄分公司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一秀</t>
    </r>
    <r>
      <rPr>
        <sz val="10"/>
        <rFont val="Times New Roman"/>
        <family val="1"/>
      </rPr>
      <t>)</t>
    </r>
  </si>
  <si>
    <r>
      <t>萬海高雄碼頭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昶能</t>
    </r>
    <r>
      <rPr>
        <sz val="10"/>
        <rFont val="Times New Roman"/>
        <family val="1"/>
      </rPr>
      <t>)</t>
    </r>
  </si>
  <si>
    <r>
      <t>亞柏加油站新園站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潮洲站</t>
    </r>
  </si>
  <si>
    <r>
      <t>POSETOP(</t>
    </r>
    <r>
      <rPr>
        <sz val="10"/>
        <rFont val="細明體"/>
        <family val="3"/>
      </rPr>
      <t>遠企</t>
    </r>
    <r>
      <rPr>
        <sz val="10"/>
        <rFont val="Times New Roman"/>
        <family val="1"/>
      </rPr>
      <t>)</t>
    </r>
  </si>
  <si>
    <r>
      <t>POSETOP(</t>
    </r>
    <r>
      <rPr>
        <sz val="10"/>
        <rFont val="細明體"/>
        <family val="3"/>
      </rPr>
      <t>中山</t>
    </r>
    <r>
      <rPr>
        <sz val="10"/>
        <rFont val="Times New Roman"/>
        <family val="1"/>
      </rPr>
      <t>)</t>
    </r>
  </si>
  <si>
    <r>
      <t>POSETOP(</t>
    </r>
    <r>
      <rPr>
        <sz val="10"/>
        <rFont val="細明體"/>
        <family val="3"/>
      </rPr>
      <t>明耀</t>
    </r>
    <r>
      <rPr>
        <sz val="10"/>
        <rFont val="Times New Roman"/>
        <family val="1"/>
      </rPr>
      <t>)</t>
    </r>
  </si>
  <si>
    <r>
      <t>POSETOP(</t>
    </r>
    <r>
      <rPr>
        <sz val="10"/>
        <rFont val="細明體"/>
        <family val="3"/>
      </rPr>
      <t>永康</t>
    </r>
    <r>
      <rPr>
        <sz val="10"/>
        <rFont val="Times New Roman"/>
        <family val="1"/>
      </rPr>
      <t>)</t>
    </r>
  </si>
  <si>
    <r>
      <t>八仙海岸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暫時撤點</t>
    </r>
    <r>
      <rPr>
        <sz val="10"/>
        <rFont val="Times New Roman"/>
        <family val="1"/>
      </rPr>
      <t>)</t>
    </r>
  </si>
  <si>
    <r>
      <t>亞太行動寬頻基隆信一店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楊舒君</t>
    </r>
    <r>
      <rPr>
        <sz val="10"/>
        <rFont val="Times New Roman"/>
        <family val="1"/>
      </rPr>
      <t>)</t>
    </r>
  </si>
  <si>
    <r>
      <t>亞太行動寬頻台北士林店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陳曉風</t>
    </r>
    <r>
      <rPr>
        <sz val="10"/>
        <rFont val="Times New Roman"/>
        <family val="1"/>
      </rPr>
      <t>)</t>
    </r>
  </si>
  <si>
    <r>
      <t>亞太行動寬頻光復店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王聖偉</t>
    </r>
    <r>
      <rPr>
        <sz val="10"/>
        <rFont val="Times New Roman"/>
        <family val="1"/>
      </rPr>
      <t>)</t>
    </r>
  </si>
  <si>
    <r>
      <t>亞太行動寬頻美麗華摩天小屋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撤點</t>
    </r>
    <r>
      <rPr>
        <sz val="10"/>
        <rFont val="Times New Roman"/>
        <family val="1"/>
      </rPr>
      <t>)</t>
    </r>
  </si>
  <si>
    <r>
      <t>亞太行動寬頻台北南京店</t>
    </r>
    <r>
      <rPr>
        <b/>
        <i/>
        <sz val="10"/>
        <rFont val="Times New Roman"/>
        <family val="1"/>
      </rPr>
      <t>(</t>
    </r>
    <r>
      <rPr>
        <b/>
        <i/>
        <sz val="10"/>
        <rFont val="新細明體"/>
        <family val="1"/>
      </rPr>
      <t>陳怡穎</t>
    </r>
    <r>
      <rPr>
        <b/>
        <i/>
        <sz val="10"/>
        <rFont val="Times New Roman"/>
        <family val="1"/>
      </rPr>
      <t>)</t>
    </r>
  </si>
  <si>
    <r>
      <t>亞太行動寬頻永和永和店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周俊一</t>
    </r>
    <r>
      <rPr>
        <sz val="10"/>
        <rFont val="Times New Roman"/>
        <family val="1"/>
      </rPr>
      <t>)</t>
    </r>
  </si>
  <si>
    <r>
      <t>亞太行動寬頻三重重新店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邱國華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回收不高</t>
    </r>
  </si>
  <si>
    <r>
      <t>亞太行動寬頻板橋文化店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撤點</t>
    </r>
    <r>
      <rPr>
        <sz val="10"/>
        <rFont val="Times New Roman"/>
        <family val="1"/>
      </rPr>
      <t>)</t>
    </r>
  </si>
  <si>
    <r>
      <t>亞太行動寬頻新莊中正店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黃聖元</t>
    </r>
    <r>
      <rPr>
        <sz val="10"/>
        <rFont val="Times New Roman"/>
        <family val="1"/>
      </rPr>
      <t>)</t>
    </r>
  </si>
  <si>
    <r>
      <t>亞太行動寬頻桃園中山店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洪美惠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撤點</t>
    </r>
  </si>
  <si>
    <r>
      <t>亞太行動寬頻中壢中山店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劉朝明</t>
    </r>
    <r>
      <rPr>
        <sz val="10"/>
        <rFont val="Times New Roman"/>
        <family val="1"/>
      </rPr>
      <t>)</t>
    </r>
  </si>
  <si>
    <r>
      <t>亞太行動寬頻新竹中山店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王純貞</t>
    </r>
    <r>
      <rPr>
        <sz val="10"/>
        <rFont val="Times New Roman"/>
        <family val="1"/>
      </rPr>
      <t>)</t>
    </r>
  </si>
  <si>
    <r>
      <t>亞太行動寬頻苗栗竹南店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李怡瑩</t>
    </r>
    <r>
      <rPr>
        <sz val="10"/>
        <rFont val="Times New Roman"/>
        <family val="1"/>
      </rPr>
      <t>)</t>
    </r>
  </si>
  <si>
    <r>
      <t>亞太行動寬頻台中英才店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曾文利</t>
    </r>
    <r>
      <rPr>
        <sz val="10"/>
        <rFont val="Times New Roman"/>
        <family val="1"/>
      </rPr>
      <t>)</t>
    </r>
  </si>
  <si>
    <r>
      <t>亞太行動寬頻台中三民店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梁仲佑</t>
    </r>
    <r>
      <rPr>
        <sz val="10"/>
        <rFont val="Times New Roman"/>
        <family val="1"/>
      </rPr>
      <t>)</t>
    </r>
  </si>
  <si>
    <r>
      <t>亞太行動寬頻彰化中正店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劉桓佑</t>
    </r>
    <r>
      <rPr>
        <sz val="10"/>
        <rFont val="Times New Roman"/>
        <family val="1"/>
      </rPr>
      <t>)</t>
    </r>
  </si>
  <si>
    <r>
      <t>亞太行動寬頻嘉義民族店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邱秀汝</t>
    </r>
    <r>
      <rPr>
        <sz val="10"/>
        <rFont val="Times New Roman"/>
        <family val="1"/>
      </rPr>
      <t>)</t>
    </r>
  </si>
  <si>
    <r>
      <t>亞太行動寬頻台南西門店</t>
    </r>
    <r>
      <rPr>
        <b/>
        <i/>
        <sz val="10"/>
        <rFont val="Times New Roman"/>
        <family val="1"/>
      </rPr>
      <t>(</t>
    </r>
    <r>
      <rPr>
        <b/>
        <i/>
        <sz val="10"/>
        <rFont val="新細明體"/>
        <family val="1"/>
      </rPr>
      <t>董秀珠</t>
    </r>
    <r>
      <rPr>
        <b/>
        <i/>
        <sz val="10"/>
        <rFont val="Times New Roman"/>
        <family val="1"/>
      </rPr>
      <t>)</t>
    </r>
  </si>
  <si>
    <r>
      <t>亞太行動寬頻台南永康店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陳欣惠</t>
    </r>
    <r>
      <rPr>
        <sz val="10"/>
        <rFont val="Times New Roman"/>
        <family val="1"/>
      </rPr>
      <t>)</t>
    </r>
  </si>
  <si>
    <r>
      <t>亞太行動寬頻高雄五福店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王昶能</t>
    </r>
    <r>
      <rPr>
        <sz val="10"/>
        <rFont val="Times New Roman"/>
        <family val="1"/>
      </rPr>
      <t>)</t>
    </r>
  </si>
  <si>
    <r>
      <t>亞太行動寬頻高雄三多店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唐彬</t>
    </r>
    <r>
      <rPr>
        <sz val="10"/>
        <rFont val="Times New Roman"/>
        <family val="1"/>
      </rPr>
      <t>)</t>
    </r>
  </si>
  <si>
    <r>
      <t>亞太行動寬頻高雄鳳山店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高一秀</t>
    </r>
    <r>
      <rPr>
        <sz val="10"/>
        <rFont val="Times New Roman"/>
        <family val="1"/>
      </rPr>
      <t>)</t>
    </r>
  </si>
  <si>
    <r>
      <t>亞太行動寬頻屏東民生店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陳世明</t>
    </r>
    <r>
      <rPr>
        <sz val="10"/>
        <rFont val="Times New Roman"/>
        <family val="1"/>
      </rPr>
      <t>)</t>
    </r>
  </si>
  <si>
    <r>
      <t>國聯光電科技股份有限新竹</t>
    </r>
    <r>
      <rPr>
        <sz val="10"/>
        <rFont val="Times New Roman"/>
        <family val="1"/>
      </rPr>
      <t>+</t>
    </r>
    <r>
      <rPr>
        <sz val="10"/>
        <rFont val="新細明體"/>
        <family val="1"/>
      </rPr>
      <t>台南</t>
    </r>
  </si>
  <si>
    <r>
      <t>詩嫚特美容</t>
    </r>
    <r>
      <rPr>
        <sz val="10"/>
        <rFont val="Times New Roman"/>
        <family val="1"/>
      </rPr>
      <t>spa</t>
    </r>
  </si>
  <si>
    <r>
      <t>客戶一</t>
    </r>
    <r>
      <rPr>
        <sz val="10"/>
        <rFont val="Times New Roman"/>
        <family val="1"/>
      </rPr>
      <t xml:space="preserve"> :  </t>
    </r>
    <r>
      <rPr>
        <sz val="10"/>
        <rFont val="細明體"/>
        <family val="3"/>
      </rPr>
      <t xml:space="preserve">娜亞國際有限公司
</t>
    </r>
  </si>
  <si>
    <r>
      <t>亞柏</t>
    </r>
    <r>
      <rPr>
        <sz val="10"/>
        <rFont val="Times New Roman"/>
        <family val="1"/>
      </rPr>
      <t>ez</t>
    </r>
    <r>
      <rPr>
        <sz val="10"/>
        <rFont val="細明體"/>
        <family val="3"/>
      </rPr>
      <t>購發票</t>
    </r>
  </si>
  <si>
    <r>
      <t>內湖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樓</t>
    </r>
    <r>
      <rPr>
        <sz val="10"/>
        <rFont val="Times New Roman"/>
        <family val="1"/>
      </rPr>
      <t>realma</t>
    </r>
  </si>
  <si>
    <r>
      <t>同仁捐贈</t>
    </r>
    <r>
      <rPr>
        <sz val="10"/>
        <rFont val="Times New Roman"/>
        <family val="1"/>
      </rPr>
      <t>rita</t>
    </r>
  </si>
  <si>
    <r>
      <t>96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09~10</t>
    </r>
    <r>
      <rPr>
        <sz val="8"/>
        <color indexed="12"/>
        <rFont val="細明體"/>
        <family val="3"/>
      </rPr>
      <t>月</t>
    </r>
  </si>
  <si>
    <r>
      <t>96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11~12</t>
    </r>
    <r>
      <rPr>
        <sz val="8"/>
        <rFont val="新細明體"/>
        <family val="1"/>
      </rPr>
      <t>月</t>
    </r>
  </si>
  <si>
    <t>usd2</t>
  </si>
  <si>
    <t>基隆港務局</t>
  </si>
  <si>
    <t>杏一醫療用品</t>
  </si>
  <si>
    <r>
      <t>人民幣</t>
    </r>
    <r>
      <rPr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</si>
</sst>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000"/>
    <numFmt numFmtId="178" formatCode="0.0000"/>
    <numFmt numFmtId="179" formatCode="0.000"/>
    <numFmt numFmtId="180" formatCode="m&quot;月&quot;d&quot;日&quot;"/>
    <numFmt numFmtId="181" formatCode="_-* #,##0.0_-;\-* #,##0.0_-;_-* &quot;-&quot;??_-;_-@_-"/>
  </numFmts>
  <fonts count="15">
    <font>
      <sz val="12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8"/>
      <color indexed="12"/>
      <name val="新細明體"/>
      <family val="1"/>
    </font>
    <font>
      <sz val="8"/>
      <name val="細明體"/>
      <family val="3"/>
    </font>
    <font>
      <sz val="8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i/>
      <sz val="10"/>
      <name val="新細明體"/>
      <family val="1"/>
    </font>
    <font>
      <b/>
      <i/>
      <sz val="10"/>
      <name val="Times New Roman"/>
      <family val="1"/>
    </font>
    <font>
      <sz val="8"/>
      <color indexed="12"/>
      <name val="細明體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176" fontId="0" fillId="3" borderId="0" xfId="15" applyNumberFormat="1" applyFill="1" applyAlignment="1">
      <alignment/>
    </xf>
    <xf numFmtId="176" fontId="0" fillId="0" borderId="0" xfId="15" applyNumberFormat="1" applyAlignment="1">
      <alignment/>
    </xf>
    <xf numFmtId="176" fontId="0" fillId="4" borderId="0" xfId="15" applyNumberFormat="1" applyFill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176" fontId="0" fillId="2" borderId="0" xfId="15" applyNumberFormat="1" applyFill="1" applyAlignment="1">
      <alignment/>
    </xf>
    <xf numFmtId="0" fontId="12" fillId="0" borderId="0" xfId="0" applyFont="1" applyAlignment="1">
      <alignment/>
    </xf>
    <xf numFmtId="0" fontId="10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15" applyNumberForma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" fillId="5" borderId="0" xfId="0" applyFont="1" applyFill="1" applyAlignment="1">
      <alignment/>
    </xf>
    <xf numFmtId="176" fontId="0" fillId="5" borderId="0" xfId="15" applyNumberFormat="1" applyFill="1" applyAlignment="1">
      <alignment/>
    </xf>
    <xf numFmtId="176" fontId="0" fillId="0" borderId="0" xfId="0" applyNumberFormat="1" applyAlignment="1">
      <alignment/>
    </xf>
    <xf numFmtId="0" fontId="1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176" fontId="0" fillId="0" borderId="0" xfId="15" applyNumberFormat="1" applyFon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76" fontId="0" fillId="6" borderId="0" xfId="15" applyNumberFormat="1" applyFill="1" applyAlignment="1">
      <alignment/>
    </xf>
    <xf numFmtId="180" fontId="10" fillId="0" borderId="0" xfId="0" applyNumberFormat="1" applyFont="1" applyAlignment="1">
      <alignment/>
    </xf>
    <xf numFmtId="176" fontId="0" fillId="3" borderId="0" xfId="15" applyNumberFormat="1" applyFill="1" applyAlignment="1">
      <alignment/>
    </xf>
    <xf numFmtId="176" fontId="0" fillId="4" borderId="0" xfId="15" applyNumberFormat="1" applyFill="1" applyAlignment="1">
      <alignment/>
    </xf>
    <xf numFmtId="176" fontId="0" fillId="5" borderId="0" xfId="15" applyNumberFormat="1" applyFill="1" applyAlignment="1">
      <alignment/>
    </xf>
    <xf numFmtId="176" fontId="0" fillId="0" borderId="0" xfId="15" applyNumberFormat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pane xSplit="1" ySplit="2" topLeftCell="F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76" sqref="A76"/>
    </sheetView>
  </sheetViews>
  <sheetFormatPr defaultColWidth="9.00390625" defaultRowHeight="16.5"/>
  <cols>
    <col min="1" max="1" width="31.375" style="0" bestFit="1" customWidth="1"/>
    <col min="2" max="3" width="4.375" style="0" bestFit="1" customWidth="1"/>
  </cols>
  <sheetData>
    <row r="1" spans="1:10" ht="16.5">
      <c r="A1" s="43" t="s">
        <v>0</v>
      </c>
      <c r="B1" s="44" t="s">
        <v>1</v>
      </c>
      <c r="C1" s="44"/>
      <c r="D1" s="3" t="s">
        <v>2</v>
      </c>
      <c r="E1" s="2" t="s">
        <v>3</v>
      </c>
      <c r="F1" s="2" t="s">
        <v>4</v>
      </c>
      <c r="G1" s="2" t="s">
        <v>4</v>
      </c>
      <c r="H1" s="3" t="s">
        <v>5</v>
      </c>
      <c r="I1" s="1" t="s">
        <v>6</v>
      </c>
      <c r="J1" s="4" t="s">
        <v>7</v>
      </c>
    </row>
    <row r="2" spans="1:10" ht="16.5">
      <c r="A2" s="43"/>
      <c r="B2" s="5" t="s">
        <v>8</v>
      </c>
      <c r="C2" s="5" t="s">
        <v>9</v>
      </c>
      <c r="D2" s="6" t="s">
        <v>84</v>
      </c>
      <c r="E2" s="7" t="s">
        <v>85</v>
      </c>
      <c r="F2" s="7" t="s">
        <v>10</v>
      </c>
      <c r="G2" s="7" t="s">
        <v>86</v>
      </c>
      <c r="H2" s="3" t="s">
        <v>11</v>
      </c>
      <c r="I2" s="1"/>
      <c r="J2" s="8"/>
    </row>
    <row r="3" spans="1:10" ht="16.5">
      <c r="A3" s="26" t="s">
        <v>12</v>
      </c>
      <c r="B3">
        <v>1</v>
      </c>
      <c r="D3" s="10">
        <v>0</v>
      </c>
      <c r="E3" s="11">
        <v>7</v>
      </c>
      <c r="F3" s="11">
        <v>102</v>
      </c>
      <c r="G3" s="11">
        <v>29</v>
      </c>
      <c r="H3" s="11">
        <v>0</v>
      </c>
      <c r="I3" s="12">
        <f>SUM(E3:H3)</f>
        <v>138</v>
      </c>
      <c r="J3" s="11">
        <v>200</v>
      </c>
    </row>
    <row r="4" spans="1:10" ht="16.5">
      <c r="A4" s="26" t="s">
        <v>13</v>
      </c>
      <c r="B4">
        <v>1</v>
      </c>
      <c r="D4" s="10">
        <v>19</v>
      </c>
      <c r="E4" s="11">
        <v>15</v>
      </c>
      <c r="F4" s="11">
        <v>195</v>
      </c>
      <c r="G4" s="11">
        <v>159</v>
      </c>
      <c r="H4" s="11">
        <v>8</v>
      </c>
      <c r="I4" s="12">
        <f aca="true" t="shared" si="0" ref="I4:I67">SUM(E4:H4)</f>
        <v>377</v>
      </c>
      <c r="J4" s="11">
        <v>400</v>
      </c>
    </row>
    <row r="5" spans="1:10" ht="16.5">
      <c r="A5" s="26" t="s">
        <v>14</v>
      </c>
      <c r="B5">
        <v>1</v>
      </c>
      <c r="D5" s="10">
        <v>1</v>
      </c>
      <c r="E5" s="11">
        <v>54</v>
      </c>
      <c r="F5" s="11">
        <v>316</v>
      </c>
      <c r="G5" s="11">
        <v>224</v>
      </c>
      <c r="H5" s="11">
        <v>0</v>
      </c>
      <c r="I5" s="12">
        <f t="shared" si="0"/>
        <v>594</v>
      </c>
      <c r="J5" s="11">
        <v>200</v>
      </c>
    </row>
    <row r="6" spans="1:10" ht="16.5">
      <c r="A6" s="26" t="s">
        <v>15</v>
      </c>
      <c r="B6">
        <v>1</v>
      </c>
      <c r="D6" s="10">
        <v>21</v>
      </c>
      <c r="E6" s="11">
        <v>5</v>
      </c>
      <c r="F6" s="11">
        <v>0</v>
      </c>
      <c r="G6" s="11">
        <v>238</v>
      </c>
      <c r="H6" s="11">
        <v>9</v>
      </c>
      <c r="I6" s="12">
        <f t="shared" si="0"/>
        <v>252</v>
      </c>
      <c r="J6" s="11">
        <v>200</v>
      </c>
    </row>
    <row r="7" spans="1:10" ht="16.5">
      <c r="A7" s="26" t="s">
        <v>16</v>
      </c>
      <c r="B7">
        <v>1</v>
      </c>
      <c r="C7">
        <v>2</v>
      </c>
      <c r="D7" s="10">
        <v>12</v>
      </c>
      <c r="E7" s="11">
        <v>8</v>
      </c>
      <c r="F7" s="11">
        <v>417</v>
      </c>
      <c r="G7" s="11">
        <v>227</v>
      </c>
      <c r="H7" s="11">
        <v>0</v>
      </c>
      <c r="I7" s="12">
        <f t="shared" si="0"/>
        <v>652</v>
      </c>
      <c r="J7" s="11">
        <v>0</v>
      </c>
    </row>
    <row r="8" spans="1:10" ht="16.5">
      <c r="A8" s="9" t="s">
        <v>17</v>
      </c>
      <c r="B8">
        <v>1</v>
      </c>
      <c r="C8">
        <v>1</v>
      </c>
      <c r="D8" s="10">
        <v>9</v>
      </c>
      <c r="E8" s="11"/>
      <c r="F8" s="11"/>
      <c r="G8" s="11"/>
      <c r="H8" s="11"/>
      <c r="I8" s="12">
        <f t="shared" si="0"/>
        <v>0</v>
      </c>
      <c r="J8" s="11"/>
    </row>
    <row r="9" spans="1:10" ht="16.5">
      <c r="A9" s="9" t="s">
        <v>18</v>
      </c>
      <c r="B9">
        <v>1</v>
      </c>
      <c r="D9" s="10"/>
      <c r="E9" s="11"/>
      <c r="F9" s="11"/>
      <c r="G9" s="11"/>
      <c r="H9" s="11"/>
      <c r="I9" s="12">
        <f t="shared" si="0"/>
        <v>0</v>
      </c>
      <c r="J9" s="11"/>
    </row>
    <row r="10" spans="1:10" ht="16.5">
      <c r="A10" s="9" t="s">
        <v>19</v>
      </c>
      <c r="B10">
        <v>1</v>
      </c>
      <c r="D10" s="10">
        <v>6</v>
      </c>
      <c r="E10" s="11"/>
      <c r="F10" s="11"/>
      <c r="G10" s="11"/>
      <c r="H10" s="11"/>
      <c r="I10" s="12">
        <f t="shared" si="0"/>
        <v>0</v>
      </c>
      <c r="J10" s="11"/>
    </row>
    <row r="11" spans="1:10" ht="16.5">
      <c r="A11" s="9" t="s">
        <v>20</v>
      </c>
      <c r="C11">
        <v>1</v>
      </c>
      <c r="D11" s="10">
        <v>3</v>
      </c>
      <c r="E11" s="11">
        <v>62</v>
      </c>
      <c r="F11" s="11">
        <v>73</v>
      </c>
      <c r="G11" s="11">
        <v>20</v>
      </c>
      <c r="H11" s="11">
        <v>11</v>
      </c>
      <c r="I11" s="12">
        <f t="shared" si="0"/>
        <v>166</v>
      </c>
      <c r="J11" s="11">
        <v>600</v>
      </c>
    </row>
    <row r="12" spans="1:10" ht="16.5">
      <c r="A12" s="26" t="s">
        <v>21</v>
      </c>
      <c r="B12">
        <v>1</v>
      </c>
      <c r="D12" s="14">
        <v>0</v>
      </c>
      <c r="E12" s="11">
        <v>81</v>
      </c>
      <c r="F12" s="11">
        <v>229</v>
      </c>
      <c r="G12" s="11">
        <v>85</v>
      </c>
      <c r="H12">
        <v>0</v>
      </c>
      <c r="I12" s="12">
        <f t="shared" si="0"/>
        <v>395</v>
      </c>
      <c r="J12" s="11">
        <v>200</v>
      </c>
    </row>
    <row r="13" spans="1:10" ht="16.5">
      <c r="A13" s="26" t="s">
        <v>22</v>
      </c>
      <c r="C13">
        <v>1</v>
      </c>
      <c r="D13" s="10">
        <f>7+5</f>
        <v>12</v>
      </c>
      <c r="E13" s="11">
        <v>8</v>
      </c>
      <c r="F13" s="11">
        <v>251</v>
      </c>
      <c r="G13" s="11">
        <v>0</v>
      </c>
      <c r="H13" s="11">
        <v>6</v>
      </c>
      <c r="I13" s="12">
        <f t="shared" si="0"/>
        <v>265</v>
      </c>
      <c r="J13" s="11">
        <v>1000</v>
      </c>
    </row>
    <row r="14" spans="1:10" ht="16.5">
      <c r="A14" s="26" t="s">
        <v>23</v>
      </c>
      <c r="B14">
        <v>1</v>
      </c>
      <c r="D14" s="10">
        <v>32</v>
      </c>
      <c r="E14" s="11">
        <v>0</v>
      </c>
      <c r="F14" s="11">
        <v>236</v>
      </c>
      <c r="G14" s="11">
        <v>104</v>
      </c>
      <c r="H14" s="11">
        <v>1</v>
      </c>
      <c r="I14" s="12">
        <f t="shared" si="0"/>
        <v>341</v>
      </c>
      <c r="J14" s="11">
        <v>400</v>
      </c>
    </row>
    <row r="15" spans="1:10" ht="16.5">
      <c r="A15" s="26" t="s">
        <v>24</v>
      </c>
      <c r="B15">
        <v>2</v>
      </c>
      <c r="D15" s="10"/>
      <c r="E15" s="11">
        <v>0</v>
      </c>
      <c r="F15" s="11">
        <v>613</v>
      </c>
      <c r="G15" s="11">
        <v>0</v>
      </c>
      <c r="H15" s="11">
        <v>0</v>
      </c>
      <c r="I15" s="12">
        <f t="shared" si="0"/>
        <v>613</v>
      </c>
      <c r="J15" s="11">
        <v>1600</v>
      </c>
    </row>
    <row r="16" spans="1:10" ht="16.5">
      <c r="A16" s="9" t="s">
        <v>25</v>
      </c>
      <c r="B16">
        <v>4</v>
      </c>
      <c r="D16" s="10"/>
      <c r="E16" s="11"/>
      <c r="F16" s="11"/>
      <c r="G16" s="11"/>
      <c r="H16" s="11"/>
      <c r="I16" s="12">
        <f t="shared" si="0"/>
        <v>0</v>
      </c>
      <c r="J16" s="11"/>
    </row>
    <row r="17" spans="1:10" ht="16.5">
      <c r="A17" s="26" t="s">
        <v>26</v>
      </c>
      <c r="B17">
        <v>2</v>
      </c>
      <c r="D17" s="10"/>
      <c r="E17" s="11">
        <v>139</v>
      </c>
      <c r="F17" s="11">
        <f>109+109</f>
        <v>218</v>
      </c>
      <c r="G17" s="11">
        <f>12+145+146</f>
        <v>303</v>
      </c>
      <c r="H17" s="11">
        <v>214</v>
      </c>
      <c r="I17" s="12">
        <f t="shared" si="0"/>
        <v>874</v>
      </c>
      <c r="J17" s="11"/>
    </row>
    <row r="18" spans="1:10" ht="16.5">
      <c r="A18" s="26" t="s">
        <v>27</v>
      </c>
      <c r="B18">
        <v>2</v>
      </c>
      <c r="D18" s="10"/>
      <c r="E18" s="11">
        <v>0</v>
      </c>
      <c r="F18" s="11">
        <v>294</v>
      </c>
      <c r="G18" s="11">
        <v>0</v>
      </c>
      <c r="H18" s="11">
        <v>0</v>
      </c>
      <c r="I18" s="12">
        <f t="shared" si="0"/>
        <v>294</v>
      </c>
      <c r="J18" s="11">
        <v>400</v>
      </c>
    </row>
    <row r="19" spans="1:10" ht="16.5">
      <c r="A19" s="9" t="s">
        <v>28</v>
      </c>
      <c r="B19">
        <v>2</v>
      </c>
      <c r="D19" s="10"/>
      <c r="E19" s="11">
        <v>0</v>
      </c>
      <c r="F19" s="11">
        <f>255+249+47</f>
        <v>551</v>
      </c>
      <c r="G19" s="11">
        <v>0</v>
      </c>
      <c r="H19" s="11">
        <v>0</v>
      </c>
      <c r="I19" s="12">
        <f t="shared" si="0"/>
        <v>551</v>
      </c>
      <c r="J19" s="11">
        <v>800</v>
      </c>
    </row>
    <row r="20" spans="1:10" ht="16.5">
      <c r="A20" s="26" t="s">
        <v>29</v>
      </c>
      <c r="B20">
        <v>2</v>
      </c>
      <c r="D20" s="10">
        <f>12+1+43</f>
        <v>56</v>
      </c>
      <c r="E20" s="11">
        <f>6+20</f>
        <v>26</v>
      </c>
      <c r="F20" s="11">
        <f>181+217</f>
        <v>398</v>
      </c>
      <c r="G20" s="11">
        <v>0</v>
      </c>
      <c r="H20" s="11">
        <v>0</v>
      </c>
      <c r="I20" s="12">
        <f t="shared" si="0"/>
        <v>424</v>
      </c>
      <c r="J20" s="11"/>
    </row>
    <row r="21" spans="1:10" ht="16.5">
      <c r="A21" s="27" t="s">
        <v>30</v>
      </c>
      <c r="B21" s="13"/>
      <c r="C21" s="13">
        <v>1</v>
      </c>
      <c r="D21" s="10">
        <v>0</v>
      </c>
      <c r="E21" s="11">
        <v>0</v>
      </c>
      <c r="F21" s="11">
        <v>194</v>
      </c>
      <c r="G21" s="11">
        <v>0</v>
      </c>
      <c r="H21" s="11">
        <v>0</v>
      </c>
      <c r="I21" s="12">
        <f t="shared" si="0"/>
        <v>194</v>
      </c>
      <c r="J21" s="11"/>
    </row>
    <row r="22" spans="1:10" ht="16.5">
      <c r="A22" s="30" t="s">
        <v>31</v>
      </c>
      <c r="B22" s="17"/>
      <c r="C22" s="17">
        <v>1</v>
      </c>
      <c r="D22" s="10">
        <v>0</v>
      </c>
      <c r="E22" s="15"/>
      <c r="F22" s="15"/>
      <c r="G22" s="15"/>
      <c r="H22" s="15"/>
      <c r="I22" s="12">
        <f t="shared" si="0"/>
        <v>0</v>
      </c>
      <c r="J22" s="15"/>
    </row>
    <row r="23" spans="1:10" ht="16.5">
      <c r="A23" s="27" t="s">
        <v>32</v>
      </c>
      <c r="B23" s="13"/>
      <c r="C23" s="13">
        <v>1</v>
      </c>
      <c r="D23" s="10">
        <v>0</v>
      </c>
      <c r="E23" s="11">
        <v>0</v>
      </c>
      <c r="F23" s="11">
        <v>127</v>
      </c>
      <c r="G23" s="11">
        <v>0</v>
      </c>
      <c r="H23" s="11">
        <v>0</v>
      </c>
      <c r="I23" s="12">
        <f t="shared" si="0"/>
        <v>127</v>
      </c>
      <c r="J23" s="11"/>
    </row>
    <row r="24" spans="1:10" ht="16.5">
      <c r="A24" s="27" t="s">
        <v>33</v>
      </c>
      <c r="B24" s="13"/>
      <c r="C24" s="13">
        <v>1</v>
      </c>
      <c r="D24" s="10">
        <v>0</v>
      </c>
      <c r="E24" s="11">
        <v>0</v>
      </c>
      <c r="F24" s="11">
        <v>73</v>
      </c>
      <c r="G24" s="11">
        <v>0</v>
      </c>
      <c r="H24" s="11">
        <v>0</v>
      </c>
      <c r="I24" s="12">
        <f t="shared" si="0"/>
        <v>73</v>
      </c>
      <c r="J24" s="11"/>
    </row>
    <row r="25" spans="1:10" ht="16.5">
      <c r="A25" s="26" t="s">
        <v>34</v>
      </c>
      <c r="B25">
        <v>1</v>
      </c>
      <c r="C25">
        <v>1</v>
      </c>
      <c r="D25" s="10">
        <v>19</v>
      </c>
      <c r="E25" s="11">
        <v>4</v>
      </c>
      <c r="F25" s="11">
        <v>347</v>
      </c>
      <c r="G25" s="11">
        <v>35</v>
      </c>
      <c r="H25" s="11">
        <v>2</v>
      </c>
      <c r="I25" s="12">
        <f t="shared" si="0"/>
        <v>388</v>
      </c>
      <c r="J25" s="11">
        <v>200</v>
      </c>
    </row>
    <row r="26" spans="1:10" ht="16.5">
      <c r="A26" s="9" t="s">
        <v>35</v>
      </c>
      <c r="C26">
        <v>1</v>
      </c>
      <c r="D26" s="10"/>
      <c r="E26" s="11"/>
      <c r="F26" s="11"/>
      <c r="G26" s="11"/>
      <c r="H26" s="11"/>
      <c r="I26" s="12">
        <f t="shared" si="0"/>
        <v>0</v>
      </c>
      <c r="J26" s="11"/>
    </row>
    <row r="27" spans="1:10" ht="16.5">
      <c r="A27" s="26" t="s">
        <v>36</v>
      </c>
      <c r="C27">
        <v>1</v>
      </c>
      <c r="D27" s="10">
        <v>0</v>
      </c>
      <c r="E27">
        <v>86</v>
      </c>
      <c r="F27">
        <v>128</v>
      </c>
      <c r="G27">
        <v>39</v>
      </c>
      <c r="H27" s="11">
        <v>65</v>
      </c>
      <c r="I27" s="12">
        <f t="shared" si="0"/>
        <v>318</v>
      </c>
      <c r="J27" s="11">
        <v>200</v>
      </c>
    </row>
    <row r="28" spans="1:10" ht="16.5">
      <c r="A28" s="26" t="s">
        <v>37</v>
      </c>
      <c r="C28">
        <v>1</v>
      </c>
      <c r="D28" s="10">
        <v>1</v>
      </c>
      <c r="E28" s="11">
        <f>6+21</f>
        <v>27</v>
      </c>
      <c r="F28" s="11">
        <f>36+12</f>
        <v>48</v>
      </c>
      <c r="G28" s="11">
        <v>3</v>
      </c>
      <c r="H28" s="11">
        <v>55</v>
      </c>
      <c r="I28" s="12">
        <f t="shared" si="0"/>
        <v>133</v>
      </c>
      <c r="J28" s="11">
        <v>200</v>
      </c>
    </row>
    <row r="29" spans="1:10" ht="16.5">
      <c r="A29" s="9" t="s">
        <v>38</v>
      </c>
      <c r="C29">
        <v>1</v>
      </c>
      <c r="D29" s="10">
        <v>0</v>
      </c>
      <c r="E29" s="11">
        <v>6</v>
      </c>
      <c r="F29" s="11">
        <f>141+149</f>
        <v>290</v>
      </c>
      <c r="G29" s="11">
        <v>25</v>
      </c>
      <c r="H29" s="11">
        <v>0</v>
      </c>
      <c r="I29" s="12">
        <f t="shared" si="0"/>
        <v>321</v>
      </c>
      <c r="J29" s="11">
        <v>400</v>
      </c>
    </row>
    <row r="30" spans="1:10" ht="16.5">
      <c r="A30" s="26" t="s">
        <v>39</v>
      </c>
      <c r="C30">
        <v>1</v>
      </c>
      <c r="D30" s="10">
        <v>3</v>
      </c>
      <c r="E30" s="11">
        <v>7</v>
      </c>
      <c r="F30" s="11">
        <v>72</v>
      </c>
      <c r="G30" s="11">
        <v>0</v>
      </c>
      <c r="H30" s="11">
        <v>3</v>
      </c>
      <c r="I30" s="12">
        <f t="shared" si="0"/>
        <v>82</v>
      </c>
      <c r="J30" s="11"/>
    </row>
    <row r="31" spans="1:10" ht="16.5">
      <c r="A31" s="26" t="s">
        <v>40</v>
      </c>
      <c r="C31">
        <v>1</v>
      </c>
      <c r="D31" s="10">
        <v>0</v>
      </c>
      <c r="E31" s="11">
        <v>3</v>
      </c>
      <c r="F31" s="11">
        <v>83</v>
      </c>
      <c r="G31" s="11">
        <v>99</v>
      </c>
      <c r="H31" s="11">
        <v>0</v>
      </c>
      <c r="I31" s="12">
        <f t="shared" si="0"/>
        <v>185</v>
      </c>
      <c r="J31" s="11">
        <v>400</v>
      </c>
    </row>
    <row r="32" spans="1:10" ht="16.5">
      <c r="A32" s="4" t="s">
        <v>41</v>
      </c>
      <c r="B32" s="8">
        <v>5</v>
      </c>
      <c r="C32" s="8"/>
      <c r="D32" s="10">
        <v>0</v>
      </c>
      <c r="E32" s="15"/>
      <c r="F32" s="15"/>
      <c r="G32" s="15"/>
      <c r="H32" s="15"/>
      <c r="I32" s="12">
        <f t="shared" si="0"/>
        <v>0</v>
      </c>
      <c r="J32" s="15"/>
    </row>
    <row r="33" spans="1:10" ht="16.5">
      <c r="A33" s="9" t="s">
        <v>42</v>
      </c>
      <c r="C33">
        <v>1</v>
      </c>
      <c r="D33" s="10"/>
      <c r="E33" s="11"/>
      <c r="F33" s="11"/>
      <c r="G33" s="11"/>
      <c r="H33" s="11"/>
      <c r="I33" s="12">
        <f t="shared" si="0"/>
        <v>0</v>
      </c>
      <c r="J33" s="11"/>
    </row>
    <row r="34" spans="1:10" ht="16.5">
      <c r="A34" s="26" t="s">
        <v>43</v>
      </c>
      <c r="B34">
        <v>1</v>
      </c>
      <c r="C34" s="13" t="s">
        <v>44</v>
      </c>
      <c r="D34" s="10">
        <v>4</v>
      </c>
      <c r="E34" s="11">
        <v>0</v>
      </c>
      <c r="F34" s="11">
        <v>153</v>
      </c>
      <c r="G34" s="11">
        <v>40</v>
      </c>
      <c r="H34" s="11">
        <v>0</v>
      </c>
      <c r="I34" s="12">
        <f t="shared" si="0"/>
        <v>193</v>
      </c>
      <c r="J34" s="11"/>
    </row>
    <row r="35" spans="1:10" ht="16.5">
      <c r="A35" s="9" t="s">
        <v>45</v>
      </c>
      <c r="B35">
        <v>1</v>
      </c>
      <c r="D35" s="10"/>
      <c r="E35" s="11"/>
      <c r="F35" s="11"/>
      <c r="G35" s="11"/>
      <c r="H35" s="11"/>
      <c r="I35" s="12">
        <f t="shared" si="0"/>
        <v>0</v>
      </c>
      <c r="J35" s="11"/>
    </row>
    <row r="36" spans="1:10" ht="16.5">
      <c r="A36" s="4" t="s">
        <v>46</v>
      </c>
      <c r="B36" s="8">
        <v>1</v>
      </c>
      <c r="C36" s="8"/>
      <c r="D36" s="10"/>
      <c r="E36" s="15"/>
      <c r="F36" s="15"/>
      <c r="G36" s="15"/>
      <c r="H36" s="15"/>
      <c r="I36" s="12">
        <f t="shared" si="0"/>
        <v>0</v>
      </c>
      <c r="J36" s="15"/>
    </row>
    <row r="37" spans="1:10" ht="16.5">
      <c r="A37" s="16" t="s">
        <v>47</v>
      </c>
      <c r="B37">
        <v>1</v>
      </c>
      <c r="D37" s="10"/>
      <c r="E37" s="11"/>
      <c r="F37" s="11"/>
      <c r="G37" s="11"/>
      <c r="H37" s="11"/>
      <c r="I37" s="12">
        <f t="shared" si="0"/>
        <v>0</v>
      </c>
      <c r="J37" s="11"/>
    </row>
    <row r="38" spans="1:10" ht="16.5">
      <c r="A38" s="9" t="s">
        <v>48</v>
      </c>
      <c r="B38">
        <v>1</v>
      </c>
      <c r="D38" s="10"/>
      <c r="E38" s="11"/>
      <c r="F38" s="11"/>
      <c r="G38" s="11"/>
      <c r="H38" s="11"/>
      <c r="I38" s="12">
        <f t="shared" si="0"/>
        <v>0</v>
      </c>
      <c r="J38" s="11"/>
    </row>
    <row r="39" spans="1:10" ht="16.5">
      <c r="A39" s="4" t="s">
        <v>49</v>
      </c>
      <c r="B39" s="8">
        <v>1</v>
      </c>
      <c r="C39" s="8"/>
      <c r="D39" s="10"/>
      <c r="E39" s="15"/>
      <c r="F39" s="15"/>
      <c r="G39" s="15"/>
      <c r="H39" s="15"/>
      <c r="I39" s="12">
        <f t="shared" si="0"/>
        <v>0</v>
      </c>
      <c r="J39" s="15"/>
    </row>
    <row r="40" spans="1:10" ht="16.5">
      <c r="A40" s="4" t="s">
        <v>50</v>
      </c>
      <c r="B40" s="8"/>
      <c r="C40" s="8">
        <v>1</v>
      </c>
      <c r="D40" s="10"/>
      <c r="E40" s="15"/>
      <c r="F40" s="15"/>
      <c r="G40" s="15"/>
      <c r="H40" s="15"/>
      <c r="I40" s="12">
        <f t="shared" si="0"/>
        <v>0</v>
      </c>
      <c r="J40" s="15"/>
    </row>
    <row r="41" spans="1:10" ht="16.5">
      <c r="A41" s="26" t="s">
        <v>51</v>
      </c>
      <c r="C41">
        <v>1</v>
      </c>
      <c r="D41" s="10"/>
      <c r="E41" s="11">
        <v>57</v>
      </c>
      <c r="F41" s="11">
        <v>18</v>
      </c>
      <c r="G41" s="11">
        <v>0</v>
      </c>
      <c r="H41" s="11">
        <v>0</v>
      </c>
      <c r="I41" s="12">
        <f t="shared" si="0"/>
        <v>75</v>
      </c>
      <c r="J41" s="11">
        <v>200</v>
      </c>
    </row>
    <row r="42" spans="1:10" ht="16.5">
      <c r="A42" s="4" t="s">
        <v>52</v>
      </c>
      <c r="B42" s="8"/>
      <c r="C42" s="8">
        <v>1</v>
      </c>
      <c r="D42" s="10"/>
      <c r="E42" s="15"/>
      <c r="F42" s="15"/>
      <c r="G42" s="15"/>
      <c r="H42" s="15"/>
      <c r="I42" s="12">
        <f t="shared" si="0"/>
        <v>0</v>
      </c>
      <c r="J42" s="15"/>
    </row>
    <row r="43" spans="1:10" ht="16.5">
      <c r="A43" s="9" t="s">
        <v>53</v>
      </c>
      <c r="C43">
        <v>1</v>
      </c>
      <c r="D43" s="10"/>
      <c r="E43" s="11"/>
      <c r="F43" s="11"/>
      <c r="G43" s="11"/>
      <c r="H43" s="11"/>
      <c r="I43" s="12">
        <f t="shared" si="0"/>
        <v>0</v>
      </c>
      <c r="J43" s="11"/>
    </row>
    <row r="44" spans="1:10" ht="16.5">
      <c r="A44" s="9" t="s">
        <v>54</v>
      </c>
      <c r="B44">
        <v>1</v>
      </c>
      <c r="C44">
        <v>1</v>
      </c>
      <c r="D44" s="14"/>
      <c r="E44" s="11"/>
      <c r="F44" s="11"/>
      <c r="I44" s="12">
        <f t="shared" si="0"/>
        <v>0</v>
      </c>
      <c r="J44" s="11"/>
    </row>
    <row r="45" spans="1:10" ht="16.5">
      <c r="A45" s="9" t="s">
        <v>55</v>
      </c>
      <c r="C45">
        <v>1</v>
      </c>
      <c r="D45" s="14">
        <v>0</v>
      </c>
      <c r="I45" s="12">
        <f t="shared" si="0"/>
        <v>0</v>
      </c>
      <c r="J45" s="11"/>
    </row>
    <row r="46" spans="1:10" ht="16.5">
      <c r="A46" s="9" t="s">
        <v>56</v>
      </c>
      <c r="C46">
        <v>1</v>
      </c>
      <c r="D46" s="14">
        <v>0</v>
      </c>
      <c r="I46" s="12">
        <f t="shared" si="0"/>
        <v>0</v>
      </c>
      <c r="J46" s="11"/>
    </row>
    <row r="47" spans="1:10" ht="16.5">
      <c r="A47" s="9" t="s">
        <v>57</v>
      </c>
      <c r="C47">
        <v>1</v>
      </c>
      <c r="D47" s="10"/>
      <c r="E47" s="11"/>
      <c r="F47" s="11"/>
      <c r="G47" s="11"/>
      <c r="H47" s="11"/>
      <c r="I47" s="12">
        <f t="shared" si="0"/>
        <v>0</v>
      </c>
      <c r="J47" s="11"/>
    </row>
    <row r="48" spans="1:10" ht="16.5">
      <c r="A48" s="4" t="s">
        <v>58</v>
      </c>
      <c r="B48" s="8"/>
      <c r="C48" s="8">
        <v>1</v>
      </c>
      <c r="D48" s="10"/>
      <c r="E48" s="15"/>
      <c r="F48" s="15"/>
      <c r="G48" s="15"/>
      <c r="H48" s="15"/>
      <c r="I48" s="12">
        <f t="shared" si="0"/>
        <v>0</v>
      </c>
      <c r="J48" s="15"/>
    </row>
    <row r="49" spans="1:10" ht="16.5">
      <c r="A49" s="4" t="s">
        <v>59</v>
      </c>
      <c r="B49" s="8"/>
      <c r="C49" s="8">
        <v>1</v>
      </c>
      <c r="D49" s="10"/>
      <c r="E49" s="15"/>
      <c r="F49" s="15"/>
      <c r="G49" s="15"/>
      <c r="H49" s="15"/>
      <c r="I49" s="12">
        <f t="shared" si="0"/>
        <v>0</v>
      </c>
      <c r="J49" s="15"/>
    </row>
    <row r="50" spans="1:10" ht="16.5">
      <c r="A50" s="16" t="s">
        <v>60</v>
      </c>
      <c r="B50">
        <v>1</v>
      </c>
      <c r="D50" s="10"/>
      <c r="E50" s="11"/>
      <c r="F50" s="11"/>
      <c r="G50" s="11"/>
      <c r="H50" s="11"/>
      <c r="I50" s="12">
        <f t="shared" si="0"/>
        <v>0</v>
      </c>
      <c r="J50" s="11"/>
    </row>
    <row r="51" spans="1:10" ht="16.5">
      <c r="A51" s="4" t="s">
        <v>61</v>
      </c>
      <c r="B51" s="8">
        <v>1</v>
      </c>
      <c r="C51" s="17" t="s">
        <v>44</v>
      </c>
      <c r="D51" s="10"/>
      <c r="E51" s="15"/>
      <c r="F51" s="15"/>
      <c r="G51" s="15"/>
      <c r="H51" s="15"/>
      <c r="I51" s="12">
        <f t="shared" si="0"/>
        <v>0</v>
      </c>
      <c r="J51" s="15"/>
    </row>
    <row r="52" spans="1:10" ht="16.5">
      <c r="A52" s="18" t="s">
        <v>62</v>
      </c>
      <c r="B52" s="19">
        <v>1</v>
      </c>
      <c r="C52" s="19"/>
      <c r="D52" s="10"/>
      <c r="E52" s="20"/>
      <c r="F52" s="20"/>
      <c r="G52" s="20"/>
      <c r="H52" s="20"/>
      <c r="I52" s="12">
        <f t="shared" si="0"/>
        <v>0</v>
      </c>
      <c r="J52" s="20"/>
    </row>
    <row r="53" spans="1:10" ht="16.5">
      <c r="A53" s="9" t="s">
        <v>63</v>
      </c>
      <c r="B53">
        <v>1</v>
      </c>
      <c r="D53" s="10"/>
      <c r="E53" s="11"/>
      <c r="F53" s="11"/>
      <c r="G53" s="11"/>
      <c r="H53" s="11"/>
      <c r="I53" s="12">
        <f t="shared" si="0"/>
        <v>0</v>
      </c>
      <c r="J53" s="11"/>
    </row>
    <row r="54" spans="1:10" ht="16.5">
      <c r="A54" s="9" t="s">
        <v>64</v>
      </c>
      <c r="B54">
        <v>1</v>
      </c>
      <c r="D54" s="10"/>
      <c r="E54" s="11"/>
      <c r="F54" s="11"/>
      <c r="G54" s="11"/>
      <c r="H54" s="11"/>
      <c r="I54" s="12">
        <f t="shared" si="0"/>
        <v>0</v>
      </c>
      <c r="J54" s="11"/>
    </row>
    <row r="55" spans="1:10" ht="16.5">
      <c r="A55" s="4" t="s">
        <v>65</v>
      </c>
      <c r="B55" s="8"/>
      <c r="C55" s="8">
        <v>1</v>
      </c>
      <c r="D55" s="10"/>
      <c r="E55" s="15"/>
      <c r="F55" s="15"/>
      <c r="G55" s="15"/>
      <c r="H55" s="15"/>
      <c r="I55" s="12">
        <f t="shared" si="0"/>
        <v>0</v>
      </c>
      <c r="J55" s="15"/>
    </row>
    <row r="56" spans="1:10" ht="16.5">
      <c r="A56" s="26" t="s">
        <v>66</v>
      </c>
      <c r="C56">
        <v>1</v>
      </c>
      <c r="D56" s="10">
        <v>1</v>
      </c>
      <c r="E56" s="11">
        <v>0</v>
      </c>
      <c r="F56" s="11">
        <v>27</v>
      </c>
      <c r="G56" s="11">
        <v>0</v>
      </c>
      <c r="H56" s="11">
        <v>0</v>
      </c>
      <c r="I56" s="12">
        <f t="shared" si="0"/>
        <v>27</v>
      </c>
      <c r="J56" s="11"/>
    </row>
    <row r="57" spans="1:10" ht="16.5">
      <c r="A57" s="28" t="s">
        <v>67</v>
      </c>
      <c r="C57">
        <v>2</v>
      </c>
      <c r="D57" s="10">
        <f>19+1</f>
        <v>20</v>
      </c>
      <c r="E57" s="11">
        <v>9</v>
      </c>
      <c r="F57" s="11">
        <v>89</v>
      </c>
      <c r="G57" s="11">
        <v>0</v>
      </c>
      <c r="H57" s="11">
        <v>1</v>
      </c>
      <c r="I57" s="12">
        <f t="shared" si="0"/>
        <v>99</v>
      </c>
      <c r="J57" s="11"/>
    </row>
    <row r="58" spans="1:10" ht="16.5">
      <c r="A58" s="21" t="s">
        <v>68</v>
      </c>
      <c r="C58">
        <v>1</v>
      </c>
      <c r="D58" s="10">
        <v>0</v>
      </c>
      <c r="E58" s="11"/>
      <c r="F58" s="11"/>
      <c r="G58" s="11"/>
      <c r="H58" s="11"/>
      <c r="I58" s="12">
        <f t="shared" si="0"/>
        <v>0</v>
      </c>
      <c r="J58" s="11"/>
    </row>
    <row r="59" spans="1:10" ht="16.5">
      <c r="A59" s="21" t="s">
        <v>69</v>
      </c>
      <c r="C59">
        <v>19</v>
      </c>
      <c r="D59" s="10">
        <v>9</v>
      </c>
      <c r="E59" s="31">
        <f>62+5+465+13</f>
        <v>545</v>
      </c>
      <c r="F59" s="11">
        <f>95</f>
        <v>95</v>
      </c>
      <c r="G59" s="11">
        <v>0</v>
      </c>
      <c r="H59" s="11">
        <f>8+102</f>
        <v>110</v>
      </c>
      <c r="I59" s="12">
        <f t="shared" si="0"/>
        <v>750</v>
      </c>
      <c r="J59" s="11">
        <v>0</v>
      </c>
    </row>
    <row r="60" spans="1:10" ht="16.5">
      <c r="A60" s="21" t="s">
        <v>70</v>
      </c>
      <c r="C60">
        <v>1</v>
      </c>
      <c r="D60" s="10"/>
      <c r="E60" s="11"/>
      <c r="F60" s="11"/>
      <c r="G60" s="11"/>
      <c r="H60" s="11"/>
      <c r="I60" s="12">
        <f t="shared" si="0"/>
        <v>0</v>
      </c>
      <c r="J60" s="11"/>
    </row>
    <row r="61" spans="1:10" ht="16.5">
      <c r="A61" s="28" t="s">
        <v>71</v>
      </c>
      <c r="C61">
        <v>1</v>
      </c>
      <c r="D61" s="10"/>
      <c r="E61" s="11">
        <v>60</v>
      </c>
      <c r="F61" s="11">
        <v>88</v>
      </c>
      <c r="G61" s="11">
        <v>0</v>
      </c>
      <c r="H61" s="11">
        <v>61</v>
      </c>
      <c r="I61" s="12">
        <f t="shared" si="0"/>
        <v>209</v>
      </c>
      <c r="J61" s="11">
        <v>0</v>
      </c>
    </row>
    <row r="62" spans="1:10" ht="16.5">
      <c r="A62" s="21" t="s">
        <v>72</v>
      </c>
      <c r="C62">
        <v>1</v>
      </c>
      <c r="D62" s="10">
        <v>0</v>
      </c>
      <c r="E62" s="11">
        <v>26</v>
      </c>
      <c r="F62" s="11">
        <v>0</v>
      </c>
      <c r="G62" s="11">
        <v>0</v>
      </c>
      <c r="H62" s="11">
        <v>12</v>
      </c>
      <c r="I62" s="12">
        <f t="shared" si="0"/>
        <v>38</v>
      </c>
      <c r="J62" s="11"/>
    </row>
    <row r="63" spans="1:10" ht="16.5">
      <c r="A63" s="22" t="s">
        <v>73</v>
      </c>
      <c r="C63">
        <v>1</v>
      </c>
      <c r="D63" s="10"/>
      <c r="E63" s="11"/>
      <c r="F63" s="11"/>
      <c r="G63" s="11"/>
      <c r="H63" s="11"/>
      <c r="I63" s="12">
        <f t="shared" si="0"/>
        <v>0</v>
      </c>
      <c r="J63" s="11"/>
    </row>
    <row r="64" spans="1:10" ht="16.5">
      <c r="A64" s="28" t="s">
        <v>74</v>
      </c>
      <c r="C64">
        <v>1</v>
      </c>
      <c r="D64" s="10">
        <v>6</v>
      </c>
      <c r="E64" s="11">
        <v>5</v>
      </c>
      <c r="F64" s="11">
        <v>67</v>
      </c>
      <c r="G64" s="11">
        <v>1</v>
      </c>
      <c r="H64" s="11">
        <v>1</v>
      </c>
      <c r="I64" s="12">
        <f t="shared" si="0"/>
        <v>74</v>
      </c>
      <c r="J64" s="11"/>
    </row>
    <row r="65" spans="1:10" ht="16.5">
      <c r="A65" s="21" t="s">
        <v>75</v>
      </c>
      <c r="C65">
        <v>1</v>
      </c>
      <c r="D65" s="10"/>
      <c r="E65" s="11"/>
      <c r="F65" s="11"/>
      <c r="G65" s="11"/>
      <c r="H65" s="11"/>
      <c r="I65" s="12">
        <f t="shared" si="0"/>
        <v>0</v>
      </c>
      <c r="J65" s="11"/>
    </row>
    <row r="66" spans="1:10" ht="16.5">
      <c r="A66" s="28" t="s">
        <v>76</v>
      </c>
      <c r="D66" s="10">
        <v>0</v>
      </c>
      <c r="E66" s="11">
        <v>69</v>
      </c>
      <c r="F66" s="11">
        <v>0</v>
      </c>
      <c r="G66" s="11">
        <v>75</v>
      </c>
      <c r="H66" s="11">
        <v>0</v>
      </c>
      <c r="I66" s="12">
        <f t="shared" si="0"/>
        <v>144</v>
      </c>
      <c r="J66" s="11"/>
    </row>
    <row r="67" spans="1:10" ht="16.5">
      <c r="A67" s="28" t="s">
        <v>77</v>
      </c>
      <c r="C67">
        <v>1</v>
      </c>
      <c r="D67" s="10"/>
      <c r="E67" s="11">
        <v>19</v>
      </c>
      <c r="F67" s="11">
        <v>136</v>
      </c>
      <c r="G67" s="11">
        <v>3</v>
      </c>
      <c r="H67" s="11">
        <v>0</v>
      </c>
      <c r="I67" s="12">
        <f t="shared" si="0"/>
        <v>158</v>
      </c>
      <c r="J67" s="11">
        <v>200</v>
      </c>
    </row>
    <row r="68" spans="1:10" ht="16.5">
      <c r="A68" s="28" t="s">
        <v>78</v>
      </c>
      <c r="C68">
        <v>1</v>
      </c>
      <c r="D68" s="10"/>
      <c r="E68" s="11">
        <v>4</v>
      </c>
      <c r="F68" s="11">
        <v>71</v>
      </c>
      <c r="G68" s="11">
        <f>2+80</f>
        <v>82</v>
      </c>
      <c r="H68" s="11">
        <v>0</v>
      </c>
      <c r="I68" s="12">
        <f>SUM(E68:H68)</f>
        <v>157</v>
      </c>
      <c r="J68" s="11"/>
    </row>
    <row r="69" spans="1:10" ht="16.5">
      <c r="A69" s="28" t="s">
        <v>79</v>
      </c>
      <c r="C69">
        <v>1</v>
      </c>
      <c r="D69" s="10">
        <f>41+90</f>
        <v>131</v>
      </c>
      <c r="E69" s="11">
        <f>28+101</f>
        <v>129</v>
      </c>
      <c r="F69" s="11">
        <v>110</v>
      </c>
      <c r="G69" s="11">
        <v>4</v>
      </c>
      <c r="H69" s="11">
        <f>6+16</f>
        <v>22</v>
      </c>
      <c r="I69" s="12">
        <f>SUM(E69:H69)</f>
        <v>265</v>
      </c>
      <c r="J69" s="11">
        <v>200</v>
      </c>
    </row>
    <row r="70" spans="1:10" ht="16.5">
      <c r="A70" s="21" t="s">
        <v>80</v>
      </c>
      <c r="B70">
        <v>1</v>
      </c>
      <c r="D70" s="10">
        <v>0</v>
      </c>
      <c r="E70" s="11"/>
      <c r="F70" s="11"/>
      <c r="G70" s="11"/>
      <c r="H70" s="11"/>
      <c r="I70" s="12">
        <f>SUM(E70:H70)</f>
        <v>0</v>
      </c>
      <c r="J70" s="11"/>
    </row>
    <row r="71" spans="1:10" ht="16.5">
      <c r="A71" s="28" t="s">
        <v>81</v>
      </c>
      <c r="C71">
        <v>1</v>
      </c>
      <c r="D71" s="10"/>
      <c r="E71" s="11">
        <v>0</v>
      </c>
      <c r="F71" s="11">
        <v>59</v>
      </c>
      <c r="G71" s="11">
        <v>45</v>
      </c>
      <c r="H71" s="11">
        <v>0</v>
      </c>
      <c r="I71" s="12">
        <f>SUM(E71:H71)</f>
        <v>104</v>
      </c>
      <c r="J71" s="11">
        <v>0</v>
      </c>
    </row>
    <row r="72" spans="1:10" ht="16.5">
      <c r="A72" s="29" t="s">
        <v>87</v>
      </c>
      <c r="D72" s="10"/>
      <c r="E72" s="11">
        <v>63</v>
      </c>
      <c r="F72" s="11">
        <v>0</v>
      </c>
      <c r="G72" s="11">
        <v>16</v>
      </c>
      <c r="H72" s="11">
        <v>0</v>
      </c>
      <c r="I72" s="12">
        <f>SUM(E72:H72)</f>
        <v>79</v>
      </c>
      <c r="J72" s="11"/>
    </row>
    <row r="73" spans="1:10" ht="16.5">
      <c r="A73" s="23" t="s">
        <v>82</v>
      </c>
      <c r="B73" s="24">
        <f aca="true" t="shared" si="1" ref="B73:J73">SUM(B3:B72)</f>
        <v>43</v>
      </c>
      <c r="C73" s="24">
        <f t="shared" si="1"/>
        <v>61</v>
      </c>
      <c r="D73" s="10">
        <f t="shared" si="1"/>
        <v>365</v>
      </c>
      <c r="E73" s="24">
        <f t="shared" si="1"/>
        <v>1524</v>
      </c>
      <c r="F73" s="24">
        <f t="shared" si="1"/>
        <v>6168</v>
      </c>
      <c r="G73" s="24">
        <f t="shared" si="1"/>
        <v>1856</v>
      </c>
      <c r="H73" s="24">
        <f t="shared" si="1"/>
        <v>581</v>
      </c>
      <c r="I73" s="24">
        <f t="shared" si="1"/>
        <v>10129</v>
      </c>
      <c r="J73" s="24">
        <f t="shared" si="1"/>
        <v>8000</v>
      </c>
    </row>
    <row r="74" spans="1:11" ht="16.5">
      <c r="A74" s="9"/>
      <c r="D74" s="14"/>
      <c r="I74" s="25"/>
      <c r="K74" s="13"/>
    </row>
    <row r="75" spans="1:11" ht="16.5">
      <c r="A75" s="9" t="s">
        <v>83</v>
      </c>
      <c r="C75">
        <v>2</v>
      </c>
      <c r="I75" s="25"/>
      <c r="K75" s="13"/>
    </row>
    <row r="76" spans="1:10" ht="16.5">
      <c r="A76" s="9"/>
      <c r="B76">
        <v>56</v>
      </c>
      <c r="C76">
        <v>57</v>
      </c>
      <c r="I76" s="34" t="s">
        <v>109</v>
      </c>
      <c r="J76" s="33">
        <f>SUM(J73-G73)/(I73)</f>
        <v>0.6065751801757331</v>
      </c>
    </row>
  </sheetData>
  <mergeCells count="2">
    <mergeCell ref="A1:A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pane xSplit="3" ySplit="2" topLeftCell="H6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80" sqref="J80"/>
    </sheetView>
  </sheetViews>
  <sheetFormatPr defaultColWidth="9.00390625" defaultRowHeight="16.5"/>
  <cols>
    <col min="1" max="1" width="31.375" style="0" bestFit="1" customWidth="1"/>
    <col min="2" max="3" width="4.375" style="0" bestFit="1" customWidth="1"/>
    <col min="4" max="4" width="9.125" style="0" bestFit="1" customWidth="1"/>
  </cols>
  <sheetData>
    <row r="1" spans="1:10" ht="16.5">
      <c r="A1" s="43" t="s">
        <v>0</v>
      </c>
      <c r="B1" s="44" t="s">
        <v>1</v>
      </c>
      <c r="C1" s="44"/>
      <c r="D1" s="3" t="s">
        <v>2</v>
      </c>
      <c r="E1" s="2" t="s">
        <v>3</v>
      </c>
      <c r="F1" s="2" t="s">
        <v>4</v>
      </c>
      <c r="G1" s="2" t="s">
        <v>4</v>
      </c>
      <c r="H1" s="3" t="s">
        <v>5</v>
      </c>
      <c r="I1" s="1" t="s">
        <v>6</v>
      </c>
      <c r="J1" s="4" t="s">
        <v>7</v>
      </c>
    </row>
    <row r="2" spans="1:10" ht="16.5">
      <c r="A2" s="43"/>
      <c r="B2" s="5" t="s">
        <v>8</v>
      </c>
      <c r="C2" s="5" t="s">
        <v>9</v>
      </c>
      <c r="D2" s="6" t="s">
        <v>88</v>
      </c>
      <c r="E2" s="7" t="s">
        <v>89</v>
      </c>
      <c r="F2" s="7" t="s">
        <v>86</v>
      </c>
      <c r="G2" s="7" t="s">
        <v>90</v>
      </c>
      <c r="H2" s="3" t="s">
        <v>11</v>
      </c>
      <c r="I2" s="1"/>
      <c r="J2" s="8"/>
    </row>
    <row r="3" spans="1:10" ht="16.5">
      <c r="A3" s="26" t="s">
        <v>12</v>
      </c>
      <c r="B3">
        <v>1</v>
      </c>
      <c r="D3" s="10">
        <v>29</v>
      </c>
      <c r="E3" s="11">
        <v>0</v>
      </c>
      <c r="F3" s="11">
        <v>132</v>
      </c>
      <c r="G3" s="11">
        <v>47</v>
      </c>
      <c r="H3" s="11">
        <v>0</v>
      </c>
      <c r="I3" s="12">
        <f>SUM(E3:H3)</f>
        <v>179</v>
      </c>
      <c r="J3" s="11">
        <v>0</v>
      </c>
    </row>
    <row r="4" spans="1:10" ht="16.5">
      <c r="A4" s="26" t="s">
        <v>13</v>
      </c>
      <c r="B4">
        <v>1</v>
      </c>
      <c r="D4" s="10">
        <v>159</v>
      </c>
      <c r="E4" s="11">
        <v>2</v>
      </c>
      <c r="F4" s="11">
        <v>151</v>
      </c>
      <c r="G4" s="11">
        <v>149</v>
      </c>
      <c r="H4" s="11">
        <v>1</v>
      </c>
      <c r="I4" s="12">
        <f aca="true" t="shared" si="0" ref="I4:I68">SUM(E4:H4)</f>
        <v>303</v>
      </c>
      <c r="J4" s="11">
        <v>0</v>
      </c>
    </row>
    <row r="5" spans="1:10" ht="16.5">
      <c r="A5" s="26" t="s">
        <v>14</v>
      </c>
      <c r="B5">
        <v>1</v>
      </c>
      <c r="D5" s="10">
        <v>224</v>
      </c>
      <c r="E5" s="11">
        <v>0</v>
      </c>
      <c r="F5" s="11">
        <f>36+77</f>
        <v>113</v>
      </c>
      <c r="G5" s="11">
        <f>71+18+89</f>
        <v>178</v>
      </c>
      <c r="H5" s="11">
        <v>6</v>
      </c>
      <c r="I5" s="12">
        <f t="shared" si="0"/>
        <v>297</v>
      </c>
      <c r="J5" s="11">
        <v>0</v>
      </c>
    </row>
    <row r="6" spans="1:10" ht="16.5">
      <c r="A6" s="26" t="s">
        <v>15</v>
      </c>
      <c r="B6">
        <v>1</v>
      </c>
      <c r="D6" s="10">
        <v>238</v>
      </c>
      <c r="E6" s="11">
        <v>11</v>
      </c>
      <c r="F6" s="11">
        <v>94</v>
      </c>
      <c r="G6" s="11">
        <v>136</v>
      </c>
      <c r="H6" s="11"/>
      <c r="I6" s="12">
        <f t="shared" si="0"/>
        <v>241</v>
      </c>
      <c r="J6" s="11">
        <v>200</v>
      </c>
    </row>
    <row r="7" spans="1:10" ht="16.5">
      <c r="A7" s="26" t="s">
        <v>16</v>
      </c>
      <c r="B7">
        <v>1</v>
      </c>
      <c r="C7">
        <v>2</v>
      </c>
      <c r="D7" s="10">
        <v>227</v>
      </c>
      <c r="E7" s="11">
        <v>90</v>
      </c>
      <c r="F7" s="11">
        <v>202</v>
      </c>
      <c r="G7" s="11">
        <v>313</v>
      </c>
      <c r="H7" s="11">
        <v>33</v>
      </c>
      <c r="I7" s="12">
        <f t="shared" si="0"/>
        <v>638</v>
      </c>
      <c r="J7" s="11">
        <v>600</v>
      </c>
    </row>
    <row r="8" spans="1:10" ht="16.5">
      <c r="A8" s="9" t="s">
        <v>17</v>
      </c>
      <c r="B8">
        <v>1</v>
      </c>
      <c r="C8">
        <v>1</v>
      </c>
      <c r="D8" s="10">
        <v>0</v>
      </c>
      <c r="E8" s="11">
        <v>344</v>
      </c>
      <c r="F8" s="11">
        <v>109</v>
      </c>
      <c r="G8" s="11">
        <v>0</v>
      </c>
      <c r="H8" s="11">
        <f>11+362+5</f>
        <v>378</v>
      </c>
      <c r="I8" s="12">
        <f t="shared" si="0"/>
        <v>831</v>
      </c>
      <c r="J8" s="11">
        <v>400</v>
      </c>
    </row>
    <row r="9" spans="1:10" ht="16.5">
      <c r="A9" s="9" t="s">
        <v>18</v>
      </c>
      <c r="B9">
        <v>1</v>
      </c>
      <c r="D9" s="10">
        <v>0</v>
      </c>
      <c r="E9" s="11"/>
      <c r="F9" s="11"/>
      <c r="G9" s="11"/>
      <c r="H9" s="11"/>
      <c r="I9" s="12">
        <f t="shared" si="0"/>
        <v>0</v>
      </c>
      <c r="J9" s="11"/>
    </row>
    <row r="10" spans="1:10" ht="16.5">
      <c r="A10" s="9" t="s">
        <v>19</v>
      </c>
      <c r="B10">
        <v>1</v>
      </c>
      <c r="D10" s="10">
        <v>0</v>
      </c>
      <c r="E10" s="11">
        <v>43</v>
      </c>
      <c r="F10" s="11">
        <v>98</v>
      </c>
      <c r="G10" s="11">
        <v>106</v>
      </c>
      <c r="H10" s="11">
        <v>0</v>
      </c>
      <c r="I10" s="12">
        <f t="shared" si="0"/>
        <v>247</v>
      </c>
      <c r="J10" s="11">
        <v>200</v>
      </c>
    </row>
    <row r="11" spans="1:10" ht="16.5">
      <c r="A11" s="9" t="s">
        <v>20</v>
      </c>
      <c r="C11">
        <v>1</v>
      </c>
      <c r="D11" s="10">
        <v>20</v>
      </c>
      <c r="E11" s="11"/>
      <c r="F11" s="11"/>
      <c r="G11" s="11"/>
      <c r="H11" s="11"/>
      <c r="I11" s="12">
        <f t="shared" si="0"/>
        <v>0</v>
      </c>
      <c r="J11" s="11"/>
    </row>
    <row r="12" spans="1:10" ht="16.5">
      <c r="A12" s="26" t="s">
        <v>21</v>
      </c>
      <c r="B12">
        <v>1</v>
      </c>
      <c r="D12" s="10">
        <v>85</v>
      </c>
      <c r="E12" s="11"/>
      <c r="F12" s="11"/>
      <c r="G12" s="11"/>
      <c r="I12" s="12">
        <f t="shared" si="0"/>
        <v>0</v>
      </c>
      <c r="J12" s="11"/>
    </row>
    <row r="13" spans="1:10" ht="16.5">
      <c r="A13" s="26" t="s">
        <v>22</v>
      </c>
      <c r="C13">
        <v>1</v>
      </c>
      <c r="D13" s="10">
        <v>0</v>
      </c>
      <c r="E13" s="11">
        <v>7</v>
      </c>
      <c r="F13" s="11">
        <v>234</v>
      </c>
      <c r="G13" s="11">
        <v>0</v>
      </c>
      <c r="H13" s="11">
        <v>6</v>
      </c>
      <c r="I13" s="12">
        <f t="shared" si="0"/>
        <v>247</v>
      </c>
      <c r="J13" s="11">
        <v>0</v>
      </c>
    </row>
    <row r="14" spans="1:10" ht="16.5">
      <c r="A14" s="26" t="s">
        <v>23</v>
      </c>
      <c r="B14">
        <v>1</v>
      </c>
      <c r="D14" s="10">
        <v>104</v>
      </c>
      <c r="E14" s="11">
        <f>186+1</f>
        <v>187</v>
      </c>
      <c r="F14" s="11">
        <f>118+132+136</f>
        <v>386</v>
      </c>
      <c r="G14" s="11">
        <f>126+68</f>
        <v>194</v>
      </c>
      <c r="H14" s="11">
        <v>132</v>
      </c>
      <c r="I14" s="12">
        <f t="shared" si="0"/>
        <v>899</v>
      </c>
      <c r="J14" s="11">
        <v>200</v>
      </c>
    </row>
    <row r="15" spans="1:10" ht="16.5">
      <c r="A15" s="26" t="s">
        <v>24</v>
      </c>
      <c r="B15">
        <v>2</v>
      </c>
      <c r="D15" s="10">
        <v>0</v>
      </c>
      <c r="E15" s="11">
        <v>0</v>
      </c>
      <c r="F15" s="11">
        <v>414</v>
      </c>
      <c r="G15" s="11"/>
      <c r="H15" s="11"/>
      <c r="I15" s="12">
        <f t="shared" si="0"/>
        <v>414</v>
      </c>
      <c r="J15" s="11">
        <v>400</v>
      </c>
    </row>
    <row r="16" spans="1:10" ht="16.5">
      <c r="A16" s="9" t="s">
        <v>25</v>
      </c>
      <c r="B16">
        <v>4</v>
      </c>
      <c r="D16" s="10">
        <v>0</v>
      </c>
      <c r="E16" s="11"/>
      <c r="F16" s="11"/>
      <c r="G16" s="11"/>
      <c r="H16" s="11"/>
      <c r="I16" s="12">
        <f t="shared" si="0"/>
        <v>0</v>
      </c>
      <c r="J16" s="11"/>
    </row>
    <row r="17" spans="1:10" ht="16.5">
      <c r="A17" s="26" t="s">
        <v>26</v>
      </c>
      <c r="B17">
        <v>2</v>
      </c>
      <c r="D17" s="10">
        <f>12+145+146</f>
        <v>303</v>
      </c>
      <c r="E17" s="11">
        <v>11</v>
      </c>
      <c r="F17" s="11">
        <v>406</v>
      </c>
      <c r="G17" s="11">
        <v>17</v>
      </c>
      <c r="H17" s="11">
        <v>2</v>
      </c>
      <c r="I17" s="12">
        <f t="shared" si="0"/>
        <v>436</v>
      </c>
      <c r="J17" s="11">
        <v>200</v>
      </c>
    </row>
    <row r="18" spans="1:10" ht="16.5">
      <c r="A18" s="26" t="s">
        <v>27</v>
      </c>
      <c r="B18">
        <v>2</v>
      </c>
      <c r="D18" s="10">
        <v>0</v>
      </c>
      <c r="E18" s="11">
        <v>0</v>
      </c>
      <c r="F18" s="11">
        <v>353</v>
      </c>
      <c r="G18" s="11">
        <v>0</v>
      </c>
      <c r="H18" s="11">
        <v>0</v>
      </c>
      <c r="I18" s="12">
        <f t="shared" si="0"/>
        <v>353</v>
      </c>
      <c r="J18" s="11">
        <v>400</v>
      </c>
    </row>
    <row r="19" spans="1:10" ht="16.5">
      <c r="A19" s="9" t="s">
        <v>28</v>
      </c>
      <c r="B19">
        <v>2</v>
      </c>
      <c r="D19" s="10">
        <v>0</v>
      </c>
      <c r="E19" s="11"/>
      <c r="F19" s="11">
        <v>325</v>
      </c>
      <c r="G19" s="11"/>
      <c r="H19" s="11"/>
      <c r="I19" s="12">
        <f t="shared" si="0"/>
        <v>325</v>
      </c>
      <c r="J19" s="11">
        <v>0</v>
      </c>
    </row>
    <row r="20" spans="1:10" ht="16.5">
      <c r="A20" s="26" t="s">
        <v>29</v>
      </c>
      <c r="B20">
        <v>2</v>
      </c>
      <c r="D20" s="10">
        <v>0</v>
      </c>
      <c r="E20" s="11">
        <v>23</v>
      </c>
      <c r="F20" s="11">
        <f>250+144+62+2</f>
        <v>458</v>
      </c>
      <c r="G20" s="11">
        <v>3</v>
      </c>
      <c r="H20" s="11">
        <v>9</v>
      </c>
      <c r="I20" s="12">
        <f t="shared" si="0"/>
        <v>493</v>
      </c>
      <c r="J20" s="11">
        <v>200</v>
      </c>
    </row>
    <row r="21" spans="1:10" ht="16.5">
      <c r="A21" s="26" t="s">
        <v>91</v>
      </c>
      <c r="B21">
        <v>2</v>
      </c>
      <c r="D21" s="10">
        <v>0</v>
      </c>
      <c r="E21" s="11">
        <v>0</v>
      </c>
      <c r="F21" s="11">
        <v>735</v>
      </c>
      <c r="G21" s="11">
        <v>0</v>
      </c>
      <c r="H21" s="11">
        <v>0</v>
      </c>
      <c r="I21" s="12">
        <f t="shared" si="0"/>
        <v>735</v>
      </c>
      <c r="J21" s="11">
        <v>200</v>
      </c>
    </row>
    <row r="22" spans="1:10" ht="16.5">
      <c r="A22" s="26" t="s">
        <v>95</v>
      </c>
      <c r="B22">
        <v>2</v>
      </c>
      <c r="D22" s="10">
        <v>0</v>
      </c>
      <c r="E22" s="11"/>
      <c r="F22" s="11"/>
      <c r="G22" s="11"/>
      <c r="H22" s="11"/>
      <c r="I22" s="12">
        <f t="shared" si="0"/>
        <v>0</v>
      </c>
      <c r="J22" s="11"/>
    </row>
    <row r="23" spans="1:10" ht="16.5">
      <c r="A23" s="26" t="s">
        <v>94</v>
      </c>
      <c r="B23">
        <v>2</v>
      </c>
      <c r="D23" s="10">
        <v>0</v>
      </c>
      <c r="E23" s="11"/>
      <c r="F23" s="11"/>
      <c r="G23" s="11"/>
      <c r="H23" s="11"/>
      <c r="I23" s="12">
        <f t="shared" si="0"/>
        <v>0</v>
      </c>
      <c r="J23" s="11"/>
    </row>
    <row r="24" spans="1:10" ht="16.5">
      <c r="A24" s="26" t="s">
        <v>96</v>
      </c>
      <c r="B24">
        <v>2</v>
      </c>
      <c r="D24" s="10"/>
      <c r="E24" s="11"/>
      <c r="F24" s="11"/>
      <c r="G24" s="11"/>
      <c r="H24" s="11"/>
      <c r="I24" s="12">
        <f t="shared" si="0"/>
        <v>0</v>
      </c>
      <c r="J24" s="11"/>
    </row>
    <row r="25" spans="1:10" ht="16.5">
      <c r="A25" s="27" t="s">
        <v>30</v>
      </c>
      <c r="B25" s="13"/>
      <c r="C25" s="13">
        <v>1</v>
      </c>
      <c r="D25" s="10">
        <v>0</v>
      </c>
      <c r="E25" s="11">
        <f>92-5+1</f>
        <v>88</v>
      </c>
      <c r="F25" s="11">
        <f>87+5-1</f>
        <v>91</v>
      </c>
      <c r="G25" s="11">
        <v>0</v>
      </c>
      <c r="H25" s="11">
        <v>1</v>
      </c>
      <c r="I25" s="12">
        <f t="shared" si="0"/>
        <v>180</v>
      </c>
      <c r="J25" s="11">
        <v>200</v>
      </c>
    </row>
    <row r="26" spans="1:10" ht="16.5">
      <c r="A26" s="30" t="s">
        <v>31</v>
      </c>
      <c r="B26" s="17"/>
      <c r="C26" s="17">
        <v>1</v>
      </c>
      <c r="D26" s="10"/>
      <c r="E26" s="15"/>
      <c r="F26" s="15"/>
      <c r="G26" s="15"/>
      <c r="H26" s="15"/>
      <c r="I26" s="12">
        <f t="shared" si="0"/>
        <v>0</v>
      </c>
      <c r="J26" s="15">
        <v>0</v>
      </c>
    </row>
    <row r="27" spans="1:10" ht="16.5">
      <c r="A27" s="27" t="s">
        <v>32</v>
      </c>
      <c r="B27" s="13"/>
      <c r="C27" s="13">
        <v>1</v>
      </c>
      <c r="D27" s="10">
        <v>0</v>
      </c>
      <c r="E27" s="11">
        <v>161</v>
      </c>
      <c r="F27" s="11">
        <v>79</v>
      </c>
      <c r="G27" s="11">
        <v>0</v>
      </c>
      <c r="H27" s="11">
        <v>0</v>
      </c>
      <c r="I27" s="12">
        <f t="shared" si="0"/>
        <v>240</v>
      </c>
      <c r="J27" s="11">
        <v>200</v>
      </c>
    </row>
    <row r="28" spans="1:10" ht="16.5">
      <c r="A28" s="27" t="s">
        <v>33</v>
      </c>
      <c r="B28" s="13"/>
      <c r="C28" s="13">
        <v>1</v>
      </c>
      <c r="D28" s="10">
        <v>0</v>
      </c>
      <c r="E28" s="11">
        <v>177</v>
      </c>
      <c r="F28" s="11">
        <v>101</v>
      </c>
      <c r="G28" s="11">
        <v>0</v>
      </c>
      <c r="H28" s="11">
        <v>0</v>
      </c>
      <c r="I28" s="12">
        <f t="shared" si="0"/>
        <v>278</v>
      </c>
      <c r="J28" s="11">
        <v>0</v>
      </c>
    </row>
    <row r="29" spans="1:10" ht="16.5">
      <c r="A29" s="26" t="s">
        <v>34</v>
      </c>
      <c r="B29">
        <v>1</v>
      </c>
      <c r="C29">
        <v>1</v>
      </c>
      <c r="D29" s="10">
        <v>35</v>
      </c>
      <c r="E29" s="11"/>
      <c r="F29" s="11"/>
      <c r="G29" s="11"/>
      <c r="H29" s="11"/>
      <c r="I29" s="12">
        <f t="shared" si="0"/>
        <v>0</v>
      </c>
      <c r="J29" s="11"/>
    </row>
    <row r="30" spans="1:10" ht="16.5">
      <c r="A30" s="9" t="s">
        <v>35</v>
      </c>
      <c r="C30">
        <v>1</v>
      </c>
      <c r="D30" s="10">
        <v>0</v>
      </c>
      <c r="E30" s="11"/>
      <c r="F30" s="11"/>
      <c r="G30" s="11"/>
      <c r="H30" s="11"/>
      <c r="I30" s="12">
        <f t="shared" si="0"/>
        <v>0</v>
      </c>
      <c r="J30" s="11"/>
    </row>
    <row r="31" spans="1:10" ht="16.5">
      <c r="A31" s="26" t="s">
        <v>36</v>
      </c>
      <c r="C31">
        <v>1</v>
      </c>
      <c r="D31" s="14">
        <v>39</v>
      </c>
      <c r="H31" s="11"/>
      <c r="I31" s="12">
        <f t="shared" si="0"/>
        <v>0</v>
      </c>
      <c r="J31" s="11"/>
    </row>
    <row r="32" spans="1:10" ht="16.5">
      <c r="A32" s="26" t="s">
        <v>37</v>
      </c>
      <c r="C32">
        <v>1</v>
      </c>
      <c r="D32" s="10">
        <v>3</v>
      </c>
      <c r="E32" s="11">
        <v>34</v>
      </c>
      <c r="F32" s="11">
        <v>39</v>
      </c>
      <c r="G32" s="11">
        <v>19</v>
      </c>
      <c r="H32" s="11">
        <v>0</v>
      </c>
      <c r="I32" s="12">
        <f t="shared" si="0"/>
        <v>92</v>
      </c>
      <c r="J32" s="11">
        <v>200</v>
      </c>
    </row>
    <row r="33" spans="1:10" ht="16.5">
      <c r="A33" s="9" t="s">
        <v>38</v>
      </c>
      <c r="C33">
        <v>1</v>
      </c>
      <c r="D33" s="10">
        <v>25</v>
      </c>
      <c r="E33" s="11">
        <v>26</v>
      </c>
      <c r="F33" s="11">
        <v>252</v>
      </c>
      <c r="G33" s="11">
        <v>52</v>
      </c>
      <c r="H33" s="11">
        <v>0</v>
      </c>
      <c r="I33" s="12">
        <f t="shared" si="0"/>
        <v>330</v>
      </c>
      <c r="J33" s="11">
        <v>1200</v>
      </c>
    </row>
    <row r="34" spans="1:10" ht="16.5">
      <c r="A34" s="26" t="s">
        <v>39</v>
      </c>
      <c r="C34">
        <v>1</v>
      </c>
      <c r="D34" s="10">
        <v>0</v>
      </c>
      <c r="E34" s="11">
        <v>64</v>
      </c>
      <c r="F34" s="11">
        <v>155</v>
      </c>
      <c r="G34" s="11">
        <v>0</v>
      </c>
      <c r="H34" s="11">
        <v>3</v>
      </c>
      <c r="I34" s="12">
        <f t="shared" si="0"/>
        <v>222</v>
      </c>
      <c r="J34" s="11">
        <v>0</v>
      </c>
    </row>
    <row r="35" spans="1:10" ht="16.5">
      <c r="A35" s="26" t="s">
        <v>40</v>
      </c>
      <c r="C35">
        <v>1</v>
      </c>
      <c r="D35" s="10">
        <v>99</v>
      </c>
      <c r="E35" s="11">
        <v>16</v>
      </c>
      <c r="F35" s="11">
        <v>101</v>
      </c>
      <c r="G35" s="11">
        <v>97</v>
      </c>
      <c r="H35" s="11">
        <v>3</v>
      </c>
      <c r="I35" s="12">
        <f t="shared" si="0"/>
        <v>217</v>
      </c>
      <c r="J35" s="11">
        <v>200</v>
      </c>
    </row>
    <row r="36" spans="1:10" ht="16.5">
      <c r="A36" s="4" t="s">
        <v>41</v>
      </c>
      <c r="B36" s="8">
        <v>5</v>
      </c>
      <c r="C36" s="8"/>
      <c r="D36" s="10">
        <v>0</v>
      </c>
      <c r="E36" s="15"/>
      <c r="F36" s="15"/>
      <c r="G36" s="15"/>
      <c r="H36" s="15"/>
      <c r="I36" s="12">
        <f t="shared" si="0"/>
        <v>0</v>
      </c>
      <c r="J36" s="15"/>
    </row>
    <row r="37" spans="1:10" ht="16.5">
      <c r="A37" s="9" t="s">
        <v>42</v>
      </c>
      <c r="C37">
        <v>1</v>
      </c>
      <c r="D37" s="10">
        <v>0</v>
      </c>
      <c r="E37" s="11"/>
      <c r="F37" s="11"/>
      <c r="G37" s="11"/>
      <c r="H37" s="11"/>
      <c r="I37" s="12">
        <f t="shared" si="0"/>
        <v>0</v>
      </c>
      <c r="J37" s="11"/>
    </row>
    <row r="38" spans="1:10" ht="16.5">
      <c r="A38" s="26" t="s">
        <v>43</v>
      </c>
      <c r="B38">
        <v>1</v>
      </c>
      <c r="C38" s="13" t="s">
        <v>44</v>
      </c>
      <c r="D38" s="10">
        <v>40</v>
      </c>
      <c r="E38" s="11">
        <v>23</v>
      </c>
      <c r="F38" s="11">
        <f>37+101</f>
        <v>138</v>
      </c>
      <c r="G38" s="11">
        <v>29</v>
      </c>
      <c r="H38" s="11">
        <v>0</v>
      </c>
      <c r="I38" s="12">
        <f t="shared" si="0"/>
        <v>190</v>
      </c>
      <c r="J38" s="11">
        <v>0</v>
      </c>
    </row>
    <row r="39" spans="1:10" ht="16.5">
      <c r="A39" s="9" t="s">
        <v>45</v>
      </c>
      <c r="B39">
        <v>1</v>
      </c>
      <c r="D39" s="10">
        <v>0</v>
      </c>
      <c r="E39" s="11"/>
      <c r="F39" s="11"/>
      <c r="G39" s="11"/>
      <c r="H39" s="11"/>
      <c r="I39" s="12">
        <f t="shared" si="0"/>
        <v>0</v>
      </c>
      <c r="J39" s="11"/>
    </row>
    <row r="40" spans="1:10" ht="16.5">
      <c r="A40" s="4" t="s">
        <v>46</v>
      </c>
      <c r="B40" s="8">
        <v>1</v>
      </c>
      <c r="C40" s="8"/>
      <c r="D40" s="10">
        <v>0</v>
      </c>
      <c r="E40" s="15"/>
      <c r="F40" s="15"/>
      <c r="G40" s="15"/>
      <c r="H40" s="15"/>
      <c r="I40" s="12">
        <f t="shared" si="0"/>
        <v>0</v>
      </c>
      <c r="J40" s="15"/>
    </row>
    <row r="41" spans="1:10" ht="16.5">
      <c r="A41" s="16" t="s">
        <v>47</v>
      </c>
      <c r="B41">
        <v>1</v>
      </c>
      <c r="D41" s="10">
        <v>0</v>
      </c>
      <c r="E41" s="11"/>
      <c r="F41" s="11"/>
      <c r="G41" s="11"/>
      <c r="H41" s="11"/>
      <c r="I41" s="12">
        <f t="shared" si="0"/>
        <v>0</v>
      </c>
      <c r="J41" s="11"/>
    </row>
    <row r="42" spans="1:10" ht="16.5">
      <c r="A42" s="9" t="s">
        <v>48</v>
      </c>
      <c r="B42">
        <v>1</v>
      </c>
      <c r="D42" s="10">
        <v>0</v>
      </c>
      <c r="E42" s="11"/>
      <c r="F42" s="11"/>
      <c r="G42" s="11"/>
      <c r="H42" s="11"/>
      <c r="I42" s="12">
        <f t="shared" si="0"/>
        <v>0</v>
      </c>
      <c r="J42" s="11"/>
    </row>
    <row r="43" spans="1:10" ht="16.5">
      <c r="A43" s="4" t="s">
        <v>49</v>
      </c>
      <c r="B43" s="8">
        <v>1</v>
      </c>
      <c r="C43" s="8"/>
      <c r="D43" s="10">
        <v>0</v>
      </c>
      <c r="E43" s="15"/>
      <c r="F43" s="15"/>
      <c r="G43" s="15"/>
      <c r="H43" s="15"/>
      <c r="I43" s="12">
        <f t="shared" si="0"/>
        <v>0</v>
      </c>
      <c r="J43" s="15"/>
    </row>
    <row r="44" spans="1:10" ht="16.5">
      <c r="A44" s="4" t="s">
        <v>50</v>
      </c>
      <c r="B44" s="8"/>
      <c r="C44" s="8">
        <v>1</v>
      </c>
      <c r="D44" s="10">
        <v>0</v>
      </c>
      <c r="E44" s="15"/>
      <c r="F44" s="15"/>
      <c r="G44" s="15"/>
      <c r="H44" s="15"/>
      <c r="I44" s="12">
        <f t="shared" si="0"/>
        <v>0</v>
      </c>
      <c r="J44" s="15"/>
    </row>
    <row r="45" spans="1:10" ht="16.5">
      <c r="A45" s="26" t="s">
        <v>51</v>
      </c>
      <c r="C45">
        <v>1</v>
      </c>
      <c r="D45" s="10">
        <v>0</v>
      </c>
      <c r="E45" s="11">
        <v>20</v>
      </c>
      <c r="F45" s="11">
        <v>70</v>
      </c>
      <c r="G45" s="11"/>
      <c r="H45" s="11"/>
      <c r="I45" s="12">
        <f t="shared" si="0"/>
        <v>90</v>
      </c>
      <c r="J45" s="11">
        <v>200</v>
      </c>
    </row>
    <row r="46" spans="1:10" ht="16.5">
      <c r="A46" s="4" t="s">
        <v>52</v>
      </c>
      <c r="B46" s="8"/>
      <c r="C46" s="8">
        <v>1</v>
      </c>
      <c r="D46" s="10">
        <v>0</v>
      </c>
      <c r="E46" s="15"/>
      <c r="F46" s="15"/>
      <c r="G46" s="15"/>
      <c r="H46" s="15"/>
      <c r="I46" s="12">
        <f t="shared" si="0"/>
        <v>0</v>
      </c>
      <c r="J46" s="15"/>
    </row>
    <row r="47" spans="1:10" ht="16.5">
      <c r="A47" s="9" t="s">
        <v>53</v>
      </c>
      <c r="C47">
        <v>1</v>
      </c>
      <c r="D47" s="10">
        <v>0</v>
      </c>
      <c r="E47" s="11"/>
      <c r="F47" s="11"/>
      <c r="G47" s="11"/>
      <c r="H47" s="11"/>
      <c r="I47" s="12">
        <f t="shared" si="0"/>
        <v>0</v>
      </c>
      <c r="J47" s="11"/>
    </row>
    <row r="48" spans="1:10" ht="16.5">
      <c r="A48" s="9" t="s">
        <v>54</v>
      </c>
      <c r="B48">
        <v>1</v>
      </c>
      <c r="C48">
        <v>1</v>
      </c>
      <c r="D48" s="10">
        <v>0</v>
      </c>
      <c r="E48" s="11"/>
      <c r="F48" s="11"/>
      <c r="I48" s="12">
        <f t="shared" si="0"/>
        <v>0</v>
      </c>
      <c r="J48" s="11"/>
    </row>
    <row r="49" spans="1:10" ht="16.5">
      <c r="A49" s="9" t="s">
        <v>55</v>
      </c>
      <c r="C49">
        <v>1</v>
      </c>
      <c r="D49" s="10">
        <v>0</v>
      </c>
      <c r="I49" s="12">
        <f t="shared" si="0"/>
        <v>0</v>
      </c>
      <c r="J49" s="11"/>
    </row>
    <row r="50" spans="1:10" ht="16.5">
      <c r="A50" s="9" t="s">
        <v>56</v>
      </c>
      <c r="C50">
        <v>1</v>
      </c>
      <c r="D50" s="10">
        <v>0</v>
      </c>
      <c r="I50" s="12">
        <f t="shared" si="0"/>
        <v>0</v>
      </c>
      <c r="J50" s="11"/>
    </row>
    <row r="51" spans="1:10" ht="16.5">
      <c r="A51" s="9" t="s">
        <v>57</v>
      </c>
      <c r="C51">
        <v>1</v>
      </c>
      <c r="D51" s="10">
        <v>0</v>
      </c>
      <c r="E51" s="11"/>
      <c r="F51" s="11"/>
      <c r="G51" s="11"/>
      <c r="H51" s="11"/>
      <c r="I51" s="12">
        <f t="shared" si="0"/>
        <v>0</v>
      </c>
      <c r="J51" s="11"/>
    </row>
    <row r="52" spans="1:10" ht="16.5">
      <c r="A52" s="4" t="s">
        <v>58</v>
      </c>
      <c r="B52" s="8"/>
      <c r="C52" s="8">
        <v>1</v>
      </c>
      <c r="D52" s="10">
        <v>0</v>
      </c>
      <c r="E52" s="15"/>
      <c r="F52" s="15"/>
      <c r="G52" s="15"/>
      <c r="H52" s="15"/>
      <c r="I52" s="12">
        <f t="shared" si="0"/>
        <v>0</v>
      </c>
      <c r="J52" s="15"/>
    </row>
    <row r="53" spans="1:10" ht="16.5">
      <c r="A53" s="4" t="s">
        <v>59</v>
      </c>
      <c r="B53" s="8"/>
      <c r="C53" s="8">
        <v>1</v>
      </c>
      <c r="D53" s="10">
        <v>0</v>
      </c>
      <c r="E53" s="15"/>
      <c r="F53" s="15"/>
      <c r="G53" s="15"/>
      <c r="H53" s="15"/>
      <c r="I53" s="12">
        <f t="shared" si="0"/>
        <v>0</v>
      </c>
      <c r="J53" s="15"/>
    </row>
    <row r="54" spans="1:10" ht="16.5">
      <c r="A54" s="16" t="s">
        <v>60</v>
      </c>
      <c r="B54">
        <v>1</v>
      </c>
      <c r="D54" s="10">
        <v>0</v>
      </c>
      <c r="E54" s="11"/>
      <c r="F54" s="11"/>
      <c r="G54" s="11"/>
      <c r="H54" s="11"/>
      <c r="I54" s="12">
        <f t="shared" si="0"/>
        <v>0</v>
      </c>
      <c r="J54" s="11"/>
    </row>
    <row r="55" spans="1:10" ht="16.5">
      <c r="A55" s="4" t="s">
        <v>61</v>
      </c>
      <c r="B55" s="8">
        <v>1</v>
      </c>
      <c r="C55" s="17" t="s">
        <v>44</v>
      </c>
      <c r="D55" s="10">
        <v>0</v>
      </c>
      <c r="E55" s="15"/>
      <c r="F55" s="15"/>
      <c r="G55" s="15"/>
      <c r="H55" s="15"/>
      <c r="I55" s="12">
        <f t="shared" si="0"/>
        <v>0</v>
      </c>
      <c r="J55" s="15"/>
    </row>
    <row r="56" spans="1:10" ht="16.5">
      <c r="A56" s="18" t="s">
        <v>62</v>
      </c>
      <c r="B56" s="19">
        <v>1</v>
      </c>
      <c r="C56" s="19"/>
      <c r="D56" s="10">
        <v>0</v>
      </c>
      <c r="E56" s="20"/>
      <c r="F56" s="20"/>
      <c r="G56" s="20"/>
      <c r="H56" s="20"/>
      <c r="I56" s="12">
        <f t="shared" si="0"/>
        <v>0</v>
      </c>
      <c r="J56" s="20"/>
    </row>
    <row r="57" spans="1:10" ht="16.5">
      <c r="A57" s="9" t="s">
        <v>63</v>
      </c>
      <c r="B57">
        <v>1</v>
      </c>
      <c r="D57" s="10">
        <v>0</v>
      </c>
      <c r="E57" s="11"/>
      <c r="F57" s="11"/>
      <c r="G57" s="11"/>
      <c r="H57" s="11"/>
      <c r="I57" s="12">
        <f t="shared" si="0"/>
        <v>0</v>
      </c>
      <c r="J57" s="11"/>
    </row>
    <row r="58" spans="1:10" ht="16.5">
      <c r="A58" s="9" t="s">
        <v>64</v>
      </c>
      <c r="B58">
        <v>1</v>
      </c>
      <c r="D58" s="10">
        <v>0</v>
      </c>
      <c r="E58" s="11"/>
      <c r="F58" s="11"/>
      <c r="G58" s="11"/>
      <c r="H58" s="11"/>
      <c r="I58" s="12">
        <f t="shared" si="0"/>
        <v>0</v>
      </c>
      <c r="J58" s="11"/>
    </row>
    <row r="59" spans="1:10" ht="16.5">
      <c r="A59" s="4" t="s">
        <v>65</v>
      </c>
      <c r="B59" s="8"/>
      <c r="C59" s="8">
        <v>1</v>
      </c>
      <c r="D59" s="10">
        <v>0</v>
      </c>
      <c r="E59" s="15"/>
      <c r="F59" s="15"/>
      <c r="G59" s="15"/>
      <c r="H59" s="15"/>
      <c r="I59" s="12">
        <f t="shared" si="0"/>
        <v>0</v>
      </c>
      <c r="J59" s="15"/>
    </row>
    <row r="60" spans="1:10" ht="16.5">
      <c r="A60" s="26" t="s">
        <v>66</v>
      </c>
      <c r="C60">
        <v>1</v>
      </c>
      <c r="D60" s="10">
        <v>0</v>
      </c>
      <c r="E60" s="11">
        <v>3</v>
      </c>
      <c r="F60" s="11">
        <v>34</v>
      </c>
      <c r="G60" s="11">
        <v>0</v>
      </c>
      <c r="H60" s="11">
        <v>0</v>
      </c>
      <c r="I60" s="12">
        <f t="shared" si="0"/>
        <v>37</v>
      </c>
      <c r="J60" s="11">
        <v>0</v>
      </c>
    </row>
    <row r="61" spans="1:10" ht="16.5">
      <c r="A61" s="28" t="s">
        <v>67</v>
      </c>
      <c r="C61">
        <v>2</v>
      </c>
      <c r="D61" s="10">
        <v>0</v>
      </c>
      <c r="E61" s="11">
        <v>147</v>
      </c>
      <c r="F61" s="11">
        <v>183</v>
      </c>
      <c r="G61" s="11">
        <v>104</v>
      </c>
      <c r="H61" s="11">
        <v>4</v>
      </c>
      <c r="I61" s="12">
        <f t="shared" si="0"/>
        <v>438</v>
      </c>
      <c r="J61" s="11">
        <v>1200</v>
      </c>
    </row>
    <row r="62" spans="1:10" ht="16.5">
      <c r="A62" s="21" t="s">
        <v>68</v>
      </c>
      <c r="C62">
        <v>1</v>
      </c>
      <c r="D62" s="10">
        <v>0</v>
      </c>
      <c r="E62" s="11">
        <v>0</v>
      </c>
      <c r="F62" s="11">
        <v>0</v>
      </c>
      <c r="G62" s="11">
        <v>0</v>
      </c>
      <c r="H62" s="11">
        <v>38</v>
      </c>
      <c r="I62" s="12">
        <f t="shared" si="0"/>
        <v>38</v>
      </c>
      <c r="J62" s="11">
        <v>0</v>
      </c>
    </row>
    <row r="63" spans="1:10" ht="16.5">
      <c r="A63" s="21" t="s">
        <v>69</v>
      </c>
      <c r="C63">
        <v>19</v>
      </c>
      <c r="D63" s="10">
        <v>0</v>
      </c>
      <c r="E63" s="11">
        <f>300+284+29</f>
        <v>613</v>
      </c>
      <c r="F63" s="11">
        <f>173+227</f>
        <v>400</v>
      </c>
      <c r="G63" s="11">
        <v>77</v>
      </c>
      <c r="H63" s="11">
        <v>4</v>
      </c>
      <c r="I63" s="12">
        <f t="shared" si="0"/>
        <v>1094</v>
      </c>
      <c r="J63" s="11">
        <f>600+200</f>
        <v>800</v>
      </c>
    </row>
    <row r="64" spans="1:10" ht="16.5">
      <c r="A64" s="21" t="s">
        <v>70</v>
      </c>
      <c r="C64">
        <v>1</v>
      </c>
      <c r="D64" s="10">
        <v>0</v>
      </c>
      <c r="E64" s="11"/>
      <c r="F64" s="11"/>
      <c r="G64" s="11"/>
      <c r="H64" s="11">
        <v>0</v>
      </c>
      <c r="I64" s="12">
        <f t="shared" si="0"/>
        <v>0</v>
      </c>
      <c r="J64" s="11"/>
    </row>
    <row r="65" spans="1:10" ht="16.5">
      <c r="A65" s="28" t="s">
        <v>71</v>
      </c>
      <c r="C65">
        <v>1</v>
      </c>
      <c r="D65" s="10">
        <v>0</v>
      </c>
      <c r="E65" s="11">
        <v>148</v>
      </c>
      <c r="F65" s="11">
        <v>83</v>
      </c>
      <c r="G65" s="11">
        <v>0</v>
      </c>
      <c r="H65" s="11">
        <v>10</v>
      </c>
      <c r="I65" s="12">
        <f t="shared" si="0"/>
        <v>241</v>
      </c>
      <c r="J65" s="11">
        <v>0</v>
      </c>
    </row>
    <row r="66" spans="1:10" ht="16.5">
      <c r="A66" s="21" t="s">
        <v>72</v>
      </c>
      <c r="C66">
        <v>1</v>
      </c>
      <c r="D66" s="10">
        <v>0</v>
      </c>
      <c r="E66" s="11">
        <f>16+98</f>
        <v>114</v>
      </c>
      <c r="F66" s="11">
        <f>80+1</f>
        <v>81</v>
      </c>
      <c r="G66" s="11">
        <f>5+26</f>
        <v>31</v>
      </c>
      <c r="H66" s="11">
        <v>0</v>
      </c>
      <c r="I66" s="12">
        <f t="shared" si="0"/>
        <v>226</v>
      </c>
      <c r="J66" s="11">
        <v>200</v>
      </c>
    </row>
    <row r="67" spans="1:10" ht="16.5">
      <c r="A67" s="22" t="s">
        <v>92</v>
      </c>
      <c r="C67">
        <v>1</v>
      </c>
      <c r="D67" s="10">
        <v>0</v>
      </c>
      <c r="E67" s="11">
        <v>54</v>
      </c>
      <c r="F67" s="11">
        <v>106</v>
      </c>
      <c r="G67" s="11">
        <v>1</v>
      </c>
      <c r="H67" s="11">
        <v>1</v>
      </c>
      <c r="I67" s="12">
        <f t="shared" si="0"/>
        <v>162</v>
      </c>
      <c r="J67" s="11">
        <v>400</v>
      </c>
    </row>
    <row r="68" spans="1:10" ht="16.5">
      <c r="A68" s="28" t="s">
        <v>74</v>
      </c>
      <c r="C68">
        <v>1</v>
      </c>
      <c r="D68" s="10">
        <v>1</v>
      </c>
      <c r="E68" s="11">
        <v>3</v>
      </c>
      <c r="F68" s="11">
        <f>91+7</f>
        <v>98</v>
      </c>
      <c r="G68" s="11">
        <v>0</v>
      </c>
      <c r="H68" s="11">
        <v>0</v>
      </c>
      <c r="I68" s="12">
        <f t="shared" si="0"/>
        <v>101</v>
      </c>
      <c r="J68" s="11">
        <v>200</v>
      </c>
    </row>
    <row r="69" spans="1:10" ht="16.5">
      <c r="A69" s="21" t="s">
        <v>75</v>
      </c>
      <c r="C69">
        <v>1</v>
      </c>
      <c r="D69" s="10">
        <v>0</v>
      </c>
      <c r="E69" s="11">
        <v>50</v>
      </c>
      <c r="F69" s="11">
        <v>19</v>
      </c>
      <c r="G69" s="11">
        <v>16</v>
      </c>
      <c r="H69" s="11">
        <v>75</v>
      </c>
      <c r="I69" s="12">
        <f aca="true" t="shared" si="1" ref="I69:I76">SUM(E69:H69)</f>
        <v>160</v>
      </c>
      <c r="J69" s="11">
        <v>200</v>
      </c>
    </row>
    <row r="70" spans="1:10" ht="16.5">
      <c r="A70" s="28" t="s">
        <v>76</v>
      </c>
      <c r="D70" s="10">
        <v>75</v>
      </c>
      <c r="E70" s="11"/>
      <c r="F70" s="11">
        <v>174</v>
      </c>
      <c r="G70" s="11">
        <f>21+13+21</f>
        <v>55</v>
      </c>
      <c r="H70" s="11"/>
      <c r="I70" s="12">
        <f t="shared" si="1"/>
        <v>229</v>
      </c>
      <c r="J70" s="11">
        <v>400</v>
      </c>
    </row>
    <row r="71" spans="1:10" ht="16.5">
      <c r="A71" s="28" t="s">
        <v>77</v>
      </c>
      <c r="C71">
        <v>1</v>
      </c>
      <c r="D71" s="10">
        <v>3</v>
      </c>
      <c r="E71" s="11">
        <v>3</v>
      </c>
      <c r="F71" s="11">
        <v>133</v>
      </c>
      <c r="G71" s="11">
        <v>32</v>
      </c>
      <c r="H71" s="11">
        <v>0</v>
      </c>
      <c r="I71" s="12">
        <f t="shared" si="1"/>
        <v>168</v>
      </c>
      <c r="J71" s="11">
        <v>200</v>
      </c>
    </row>
    <row r="72" spans="1:10" ht="16.5">
      <c r="A72" s="28" t="s">
        <v>78</v>
      </c>
      <c r="C72">
        <v>1</v>
      </c>
      <c r="D72" s="10">
        <f>2+80</f>
        <v>82</v>
      </c>
      <c r="E72" s="11">
        <v>1</v>
      </c>
      <c r="F72" s="11">
        <f>26+2</f>
        <v>28</v>
      </c>
      <c r="G72" s="11">
        <v>52</v>
      </c>
      <c r="H72" s="11">
        <v>1</v>
      </c>
      <c r="I72" s="12">
        <f t="shared" si="1"/>
        <v>82</v>
      </c>
      <c r="J72" s="11">
        <v>200</v>
      </c>
    </row>
    <row r="73" spans="1:10" ht="16.5">
      <c r="A73" s="28" t="s">
        <v>79</v>
      </c>
      <c r="C73">
        <v>1</v>
      </c>
      <c r="D73" s="10">
        <v>4</v>
      </c>
      <c r="E73" s="11">
        <v>48</v>
      </c>
      <c r="F73" s="11">
        <v>39</v>
      </c>
      <c r="G73" s="11"/>
      <c r="H73" s="11"/>
      <c r="I73" s="12">
        <f t="shared" si="1"/>
        <v>87</v>
      </c>
      <c r="J73" s="11">
        <v>200</v>
      </c>
    </row>
    <row r="74" spans="1:10" ht="16.5">
      <c r="A74" s="21" t="s">
        <v>80</v>
      </c>
      <c r="B74">
        <v>1</v>
      </c>
      <c r="D74" s="10">
        <v>0</v>
      </c>
      <c r="E74" s="11">
        <v>42</v>
      </c>
      <c r="F74" s="11">
        <v>12</v>
      </c>
      <c r="G74" s="11"/>
      <c r="H74" s="11"/>
      <c r="I74" s="12">
        <f t="shared" si="1"/>
        <v>54</v>
      </c>
      <c r="J74" s="11">
        <v>0</v>
      </c>
    </row>
    <row r="75" spans="1:10" ht="16.5">
      <c r="A75" s="28" t="s">
        <v>81</v>
      </c>
      <c r="C75">
        <v>1</v>
      </c>
      <c r="D75" s="10">
        <v>45</v>
      </c>
      <c r="E75" s="11">
        <v>1</v>
      </c>
      <c r="F75" s="11">
        <v>25</v>
      </c>
      <c r="G75" s="11">
        <v>55</v>
      </c>
      <c r="H75" s="11"/>
      <c r="I75" s="12">
        <f t="shared" si="1"/>
        <v>81</v>
      </c>
      <c r="J75" s="11">
        <v>0</v>
      </c>
    </row>
    <row r="76" spans="1:10" ht="16.5">
      <c r="A76" s="21" t="s">
        <v>93</v>
      </c>
      <c r="D76" s="10">
        <v>16</v>
      </c>
      <c r="E76" s="11">
        <v>84</v>
      </c>
      <c r="F76" s="11">
        <v>101</v>
      </c>
      <c r="G76" s="11">
        <v>0</v>
      </c>
      <c r="H76" s="11">
        <v>4</v>
      </c>
      <c r="I76" s="12">
        <f t="shared" si="1"/>
        <v>189</v>
      </c>
      <c r="J76" s="11">
        <f>400+200</f>
        <v>600</v>
      </c>
    </row>
    <row r="77" spans="1:10" ht="16.5">
      <c r="A77" s="23" t="s">
        <v>82</v>
      </c>
      <c r="B77" s="24">
        <f aca="true" t="shared" si="2" ref="B77:J77">SUM(B3:B76)</f>
        <v>51</v>
      </c>
      <c r="C77" s="24">
        <f t="shared" si="2"/>
        <v>61</v>
      </c>
      <c r="D77" s="24">
        <f t="shared" si="2"/>
        <v>1856</v>
      </c>
      <c r="E77" s="24">
        <f t="shared" si="2"/>
        <v>2638</v>
      </c>
      <c r="F77" s="24">
        <f t="shared" si="2"/>
        <v>6752</v>
      </c>
      <c r="G77" s="24">
        <f t="shared" si="2"/>
        <v>1763</v>
      </c>
      <c r="H77" s="24">
        <f t="shared" si="2"/>
        <v>711</v>
      </c>
      <c r="I77" s="24">
        <f t="shared" si="2"/>
        <v>11864</v>
      </c>
      <c r="J77" s="24">
        <f t="shared" si="2"/>
        <v>9800</v>
      </c>
    </row>
    <row r="78" spans="1:9" ht="16.5">
      <c r="A78" s="9"/>
      <c r="D78" s="14"/>
      <c r="I78" s="25"/>
    </row>
    <row r="79" spans="1:9" ht="16.5">
      <c r="A79" s="9" t="s">
        <v>83</v>
      </c>
      <c r="C79">
        <v>2</v>
      </c>
      <c r="I79" s="25"/>
    </row>
    <row r="80" spans="9:10" ht="16.5">
      <c r="I80" s="34" t="s">
        <v>109</v>
      </c>
      <c r="J80" s="33">
        <f>SUM(J77-G77)/(I77)</f>
        <v>0.6774275118004046</v>
      </c>
    </row>
  </sheetData>
  <mergeCells count="2">
    <mergeCell ref="A1:A2"/>
    <mergeCell ref="B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pane xSplit="3" ySplit="2" topLeftCell="F6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1" sqref="E11"/>
    </sheetView>
  </sheetViews>
  <sheetFormatPr defaultColWidth="9.00390625" defaultRowHeight="16.5"/>
  <cols>
    <col min="1" max="1" width="31.375" style="0" customWidth="1"/>
    <col min="2" max="2" width="4.375" style="0" customWidth="1"/>
    <col min="3" max="3" width="5.375" style="0" bestFit="1" customWidth="1"/>
    <col min="4" max="4" width="9.125" style="0" customWidth="1"/>
  </cols>
  <sheetData>
    <row r="1" spans="1:11" ht="16.5">
      <c r="A1" s="43" t="s">
        <v>0</v>
      </c>
      <c r="B1" s="44" t="s">
        <v>1</v>
      </c>
      <c r="C1" s="44"/>
      <c r="D1" s="3" t="s">
        <v>2</v>
      </c>
      <c r="E1" s="2" t="s">
        <v>3</v>
      </c>
      <c r="F1" s="2" t="s">
        <v>4</v>
      </c>
      <c r="G1" s="2" t="s">
        <v>4</v>
      </c>
      <c r="H1" s="3" t="s">
        <v>5</v>
      </c>
      <c r="I1" s="43" t="s">
        <v>6</v>
      </c>
      <c r="J1" s="43" t="s">
        <v>7</v>
      </c>
      <c r="K1" s="45" t="s">
        <v>112</v>
      </c>
    </row>
    <row r="2" spans="1:11" ht="16.5">
      <c r="A2" s="43"/>
      <c r="B2" s="5" t="s">
        <v>8</v>
      </c>
      <c r="C2" s="5" t="s">
        <v>9</v>
      </c>
      <c r="D2" s="6" t="s">
        <v>104</v>
      </c>
      <c r="E2" s="7" t="s">
        <v>105</v>
      </c>
      <c r="F2" s="7" t="s">
        <v>90</v>
      </c>
      <c r="G2" s="7" t="s">
        <v>106</v>
      </c>
      <c r="H2" s="3" t="s">
        <v>11</v>
      </c>
      <c r="I2" s="43"/>
      <c r="J2" s="43"/>
      <c r="K2" s="45"/>
    </row>
    <row r="3" spans="1:10" ht="16.5">
      <c r="A3" s="26" t="s">
        <v>12</v>
      </c>
      <c r="B3">
        <v>1</v>
      </c>
      <c r="D3" s="10">
        <v>179</v>
      </c>
      <c r="E3" s="11"/>
      <c r="F3" s="11">
        <v>26</v>
      </c>
      <c r="G3" s="11">
        <v>19</v>
      </c>
      <c r="H3" s="11"/>
      <c r="I3" s="12">
        <f>SUM(E3:H3)</f>
        <v>45</v>
      </c>
      <c r="J3" s="11">
        <v>0</v>
      </c>
    </row>
    <row r="4" spans="1:10" ht="16.5">
      <c r="A4" s="26" t="s">
        <v>13</v>
      </c>
      <c r="B4">
        <v>1</v>
      </c>
      <c r="D4" s="10">
        <v>303</v>
      </c>
      <c r="E4" s="11">
        <v>14</v>
      </c>
      <c r="F4" s="11">
        <v>125</v>
      </c>
      <c r="G4" s="11">
        <v>60</v>
      </c>
      <c r="H4" s="11">
        <v>4</v>
      </c>
      <c r="I4" s="12">
        <f aca="true" t="shared" si="0" ref="I4:I68">SUM(E4:H4)</f>
        <v>203</v>
      </c>
      <c r="J4" s="11">
        <v>0</v>
      </c>
    </row>
    <row r="5" spans="1:10" ht="16.5">
      <c r="A5" s="26" t="s">
        <v>14</v>
      </c>
      <c r="B5">
        <v>1</v>
      </c>
      <c r="D5" s="10">
        <v>297</v>
      </c>
      <c r="E5" s="11">
        <v>42</v>
      </c>
      <c r="F5" s="11">
        <v>186</v>
      </c>
      <c r="G5" s="11">
        <v>182</v>
      </c>
      <c r="H5" s="11">
        <v>25</v>
      </c>
      <c r="I5" s="12">
        <f t="shared" si="0"/>
        <v>435</v>
      </c>
      <c r="J5" s="11">
        <v>200</v>
      </c>
    </row>
    <row r="6" spans="1:10" ht="16.5">
      <c r="A6" s="26" t="s">
        <v>15</v>
      </c>
      <c r="B6">
        <v>1</v>
      </c>
      <c r="D6" s="10">
        <v>241</v>
      </c>
      <c r="E6" s="11">
        <v>2</v>
      </c>
      <c r="F6" s="11">
        <v>47</v>
      </c>
      <c r="G6" s="11">
        <v>135</v>
      </c>
      <c r="H6" s="11">
        <v>1</v>
      </c>
      <c r="I6" s="12">
        <f t="shared" si="0"/>
        <v>185</v>
      </c>
      <c r="J6" s="11">
        <v>400</v>
      </c>
    </row>
    <row r="7" spans="1:10" ht="16.5">
      <c r="A7" s="26" t="s">
        <v>16</v>
      </c>
      <c r="B7">
        <v>1</v>
      </c>
      <c r="C7">
        <v>2</v>
      </c>
      <c r="D7" s="10">
        <v>638</v>
      </c>
      <c r="E7" s="11">
        <v>7</v>
      </c>
      <c r="F7" s="11">
        <v>200</v>
      </c>
      <c r="G7" s="11">
        <v>136</v>
      </c>
      <c r="H7" s="11">
        <v>2</v>
      </c>
      <c r="I7" s="12">
        <f t="shared" si="0"/>
        <v>345</v>
      </c>
      <c r="J7" s="11">
        <v>400</v>
      </c>
    </row>
    <row r="8" spans="1:10" ht="16.5">
      <c r="A8" s="9" t="s">
        <v>17</v>
      </c>
      <c r="B8">
        <v>1</v>
      </c>
      <c r="C8">
        <v>1</v>
      </c>
      <c r="D8" s="10">
        <v>831</v>
      </c>
      <c r="E8" s="11">
        <v>195</v>
      </c>
      <c r="F8" s="11">
        <v>289</v>
      </c>
      <c r="G8" s="11">
        <v>114</v>
      </c>
      <c r="H8" s="11">
        <v>77</v>
      </c>
      <c r="I8" s="12">
        <f t="shared" si="0"/>
        <v>675</v>
      </c>
      <c r="J8" s="11">
        <v>400</v>
      </c>
    </row>
    <row r="9" spans="1:11" ht="16.5">
      <c r="A9" s="9" t="s">
        <v>18</v>
      </c>
      <c r="B9">
        <v>1</v>
      </c>
      <c r="D9" s="10">
        <v>0</v>
      </c>
      <c r="E9" s="11">
        <v>47</v>
      </c>
      <c r="F9" s="11">
        <v>78</v>
      </c>
      <c r="G9" s="11">
        <v>18</v>
      </c>
      <c r="H9" s="11">
        <v>253</v>
      </c>
      <c r="I9" s="12">
        <f t="shared" si="0"/>
        <v>396</v>
      </c>
      <c r="J9" s="11">
        <v>0</v>
      </c>
      <c r="K9">
        <v>64</v>
      </c>
    </row>
    <row r="10" spans="1:10" ht="16.5">
      <c r="A10" s="9" t="s">
        <v>19</v>
      </c>
      <c r="B10">
        <v>1</v>
      </c>
      <c r="D10" s="10">
        <v>247</v>
      </c>
      <c r="E10" s="11">
        <v>105</v>
      </c>
      <c r="F10" s="11">
        <v>232</v>
      </c>
      <c r="G10" s="11">
        <v>83</v>
      </c>
      <c r="H10" s="11">
        <v>167</v>
      </c>
      <c r="I10" s="12">
        <f t="shared" si="0"/>
        <v>587</v>
      </c>
      <c r="J10" s="11">
        <v>0</v>
      </c>
    </row>
    <row r="11" spans="1:10" ht="16.5">
      <c r="A11" s="9" t="s">
        <v>20</v>
      </c>
      <c r="C11">
        <v>1</v>
      </c>
      <c r="D11" s="10">
        <v>0</v>
      </c>
      <c r="E11" s="11"/>
      <c r="F11" s="11"/>
      <c r="G11" s="11"/>
      <c r="H11" s="11"/>
      <c r="I11" s="12">
        <f t="shared" si="0"/>
        <v>0</v>
      </c>
      <c r="J11" s="11"/>
    </row>
    <row r="12" spans="1:10" ht="16.5">
      <c r="A12" s="26" t="s">
        <v>21</v>
      </c>
      <c r="B12">
        <v>1</v>
      </c>
      <c r="D12" s="10">
        <v>0</v>
      </c>
      <c r="E12" s="11">
        <f>71+3</f>
        <v>74</v>
      </c>
      <c r="F12" s="11">
        <f>118+11</f>
        <v>129</v>
      </c>
      <c r="G12" s="11">
        <v>57</v>
      </c>
      <c r="I12" s="12">
        <f t="shared" si="0"/>
        <v>260</v>
      </c>
      <c r="J12" s="11">
        <v>1000</v>
      </c>
    </row>
    <row r="13" spans="1:10" ht="16.5">
      <c r="A13" s="26" t="s">
        <v>22</v>
      </c>
      <c r="C13">
        <v>1</v>
      </c>
      <c r="D13" s="10">
        <v>247</v>
      </c>
      <c r="E13" s="11">
        <v>2</v>
      </c>
      <c r="F13" s="11">
        <v>183</v>
      </c>
      <c r="G13" s="11"/>
      <c r="H13" s="11"/>
      <c r="I13" s="12">
        <f t="shared" si="0"/>
        <v>185</v>
      </c>
      <c r="J13" s="11">
        <v>200</v>
      </c>
    </row>
    <row r="14" spans="1:10" ht="16.5">
      <c r="A14" s="26" t="s">
        <v>23</v>
      </c>
      <c r="B14">
        <v>1</v>
      </c>
      <c r="D14" s="10">
        <v>899</v>
      </c>
      <c r="E14" s="11">
        <v>5</v>
      </c>
      <c r="F14" s="11">
        <v>253</v>
      </c>
      <c r="G14" s="11">
        <v>129</v>
      </c>
      <c r="H14" s="11"/>
      <c r="I14" s="12">
        <f t="shared" si="0"/>
        <v>387</v>
      </c>
      <c r="J14" s="11">
        <v>200</v>
      </c>
    </row>
    <row r="15" spans="1:10" ht="16.5">
      <c r="A15" s="26" t="s">
        <v>100</v>
      </c>
      <c r="B15">
        <v>2</v>
      </c>
      <c r="D15" s="10">
        <v>414</v>
      </c>
      <c r="E15" s="11">
        <v>2</v>
      </c>
      <c r="F15" s="11">
        <v>266</v>
      </c>
      <c r="G15" s="11">
        <v>10</v>
      </c>
      <c r="H15" s="11"/>
      <c r="I15" s="12">
        <f t="shared" si="0"/>
        <v>278</v>
      </c>
      <c r="J15" s="11">
        <v>0</v>
      </c>
    </row>
    <row r="16" spans="1:10" ht="16.5">
      <c r="A16" s="9" t="s">
        <v>102</v>
      </c>
      <c r="B16">
        <v>4</v>
      </c>
      <c r="D16" s="10">
        <v>0</v>
      </c>
      <c r="E16" s="11">
        <v>1</v>
      </c>
      <c r="F16" s="11">
        <v>219</v>
      </c>
      <c r="G16" s="11"/>
      <c r="H16" s="11"/>
      <c r="I16" s="12">
        <f t="shared" si="0"/>
        <v>220</v>
      </c>
      <c r="J16" s="11">
        <v>200</v>
      </c>
    </row>
    <row r="17" spans="1:10" ht="16.5">
      <c r="A17" s="26" t="s">
        <v>94</v>
      </c>
      <c r="B17">
        <v>2</v>
      </c>
      <c r="D17" s="10">
        <v>436</v>
      </c>
      <c r="E17" s="11"/>
      <c r="F17" s="11"/>
      <c r="G17" s="11"/>
      <c r="H17" s="11"/>
      <c r="I17" s="12">
        <f t="shared" si="0"/>
        <v>0</v>
      </c>
      <c r="J17" s="11"/>
    </row>
    <row r="18" spans="1:10" ht="16.5">
      <c r="A18" s="26" t="s">
        <v>97</v>
      </c>
      <c r="B18">
        <v>2</v>
      </c>
      <c r="D18" s="10">
        <v>353</v>
      </c>
      <c r="E18" s="11"/>
      <c r="F18" s="11">
        <v>814</v>
      </c>
      <c r="G18" s="11"/>
      <c r="H18" s="11"/>
      <c r="I18" s="12">
        <f t="shared" si="0"/>
        <v>814</v>
      </c>
      <c r="J18" s="11">
        <v>1000</v>
      </c>
    </row>
    <row r="19" spans="1:10" ht="16.5">
      <c r="A19" s="9" t="s">
        <v>98</v>
      </c>
      <c r="B19">
        <v>2</v>
      </c>
      <c r="D19" s="10">
        <v>325</v>
      </c>
      <c r="E19" s="11"/>
      <c r="F19" s="11">
        <v>396</v>
      </c>
      <c r="G19" s="11"/>
      <c r="H19" s="11"/>
      <c r="I19" s="12">
        <f t="shared" si="0"/>
        <v>396</v>
      </c>
      <c r="J19" s="11">
        <v>0</v>
      </c>
    </row>
    <row r="20" spans="1:10" ht="16.5">
      <c r="A20" s="26" t="s">
        <v>99</v>
      </c>
      <c r="B20">
        <v>2</v>
      </c>
      <c r="D20" s="10">
        <v>493</v>
      </c>
      <c r="E20" s="11"/>
      <c r="F20" s="11"/>
      <c r="G20" s="11"/>
      <c r="H20" s="11"/>
      <c r="I20" s="12">
        <f t="shared" si="0"/>
        <v>0</v>
      </c>
      <c r="J20" s="11"/>
    </row>
    <row r="21" spans="1:10" ht="16.5">
      <c r="A21" s="26" t="s">
        <v>95</v>
      </c>
      <c r="B21">
        <v>2</v>
      </c>
      <c r="D21" s="10">
        <v>735</v>
      </c>
      <c r="E21" s="11">
        <v>14</v>
      </c>
      <c r="F21" s="11">
        <f>400+400+400+400+400+400+180</f>
        <v>2580</v>
      </c>
      <c r="G21" s="11"/>
      <c r="H21" s="11">
        <v>4</v>
      </c>
      <c r="I21" s="12">
        <f t="shared" si="0"/>
        <v>2598</v>
      </c>
      <c r="J21" s="11">
        <v>12800</v>
      </c>
    </row>
    <row r="22" spans="1:10" ht="16.5">
      <c r="A22" s="26" t="s">
        <v>96</v>
      </c>
      <c r="B22">
        <v>2</v>
      </c>
      <c r="D22" s="10">
        <v>0</v>
      </c>
      <c r="E22" s="11"/>
      <c r="F22" s="11">
        <v>633</v>
      </c>
      <c r="G22" s="11"/>
      <c r="H22" s="11"/>
      <c r="I22" s="12">
        <f t="shared" si="0"/>
        <v>633</v>
      </c>
      <c r="J22" s="11">
        <v>200</v>
      </c>
    </row>
    <row r="23" spans="1:10" ht="16.5">
      <c r="A23" s="26" t="s">
        <v>101</v>
      </c>
      <c r="B23">
        <v>2</v>
      </c>
      <c r="D23" s="10">
        <v>0</v>
      </c>
      <c r="E23" s="11"/>
      <c r="F23" s="11">
        <v>401</v>
      </c>
      <c r="G23" s="11"/>
      <c r="H23" s="11"/>
      <c r="I23" s="12">
        <f t="shared" si="0"/>
        <v>401</v>
      </c>
      <c r="J23" s="11">
        <v>1000</v>
      </c>
    </row>
    <row r="24" spans="1:10" ht="16.5">
      <c r="A24" s="26" t="s">
        <v>103</v>
      </c>
      <c r="B24">
        <v>2</v>
      </c>
      <c r="D24" s="10">
        <v>0</v>
      </c>
      <c r="E24" s="11"/>
      <c r="F24" s="11"/>
      <c r="G24" s="11"/>
      <c r="H24" s="11"/>
      <c r="I24" s="12">
        <f t="shared" si="0"/>
        <v>0</v>
      </c>
      <c r="J24" s="11"/>
    </row>
    <row r="25" spans="1:10" ht="16.5">
      <c r="A25" s="30" t="s">
        <v>30</v>
      </c>
      <c r="B25" s="17"/>
      <c r="C25" s="17">
        <v>1</v>
      </c>
      <c r="D25" s="10">
        <v>180</v>
      </c>
      <c r="E25" s="15"/>
      <c r="F25" s="15"/>
      <c r="G25" s="15"/>
      <c r="H25" s="15"/>
      <c r="I25" s="12">
        <f t="shared" si="0"/>
        <v>0</v>
      </c>
      <c r="J25" s="15">
        <v>0</v>
      </c>
    </row>
    <row r="26" spans="1:10" ht="16.5">
      <c r="A26" s="30" t="s">
        <v>31</v>
      </c>
      <c r="B26" s="17"/>
      <c r="C26" s="17">
        <v>1</v>
      </c>
      <c r="D26" s="10">
        <v>0</v>
      </c>
      <c r="E26" s="15"/>
      <c r="F26" s="15"/>
      <c r="G26" s="15"/>
      <c r="H26" s="15"/>
      <c r="I26" s="12">
        <f t="shared" si="0"/>
        <v>0</v>
      </c>
      <c r="J26" s="15">
        <v>0</v>
      </c>
    </row>
    <row r="27" spans="1:10" ht="16.5">
      <c r="A27" s="27" t="s">
        <v>32</v>
      </c>
      <c r="B27" s="13"/>
      <c r="C27" s="13">
        <v>1</v>
      </c>
      <c r="D27" s="10">
        <v>240</v>
      </c>
      <c r="E27" s="11">
        <v>45</v>
      </c>
      <c r="F27" s="11">
        <v>120</v>
      </c>
      <c r="G27" s="11"/>
      <c r="H27" s="11"/>
      <c r="I27" s="12">
        <f t="shared" si="0"/>
        <v>165</v>
      </c>
      <c r="J27" s="11">
        <v>0</v>
      </c>
    </row>
    <row r="28" spans="1:10" ht="16.5">
      <c r="A28" s="27" t="s">
        <v>33</v>
      </c>
      <c r="B28" s="13"/>
      <c r="C28" s="13">
        <v>1</v>
      </c>
      <c r="D28" s="10">
        <v>278</v>
      </c>
      <c r="E28" s="11">
        <v>103</v>
      </c>
      <c r="F28" s="11">
        <v>224</v>
      </c>
      <c r="G28" s="11"/>
      <c r="H28" s="11"/>
      <c r="I28" s="12">
        <f t="shared" si="0"/>
        <v>327</v>
      </c>
      <c r="J28" s="11">
        <v>200</v>
      </c>
    </row>
    <row r="29" spans="1:11" ht="16.5">
      <c r="A29" s="26" t="s">
        <v>34</v>
      </c>
      <c r="B29">
        <v>1</v>
      </c>
      <c r="C29">
        <v>1</v>
      </c>
      <c r="D29" s="10">
        <v>0</v>
      </c>
      <c r="E29" s="11">
        <v>214</v>
      </c>
      <c r="F29" s="11">
        <v>286</v>
      </c>
      <c r="G29" s="11">
        <f>181+6</f>
        <v>187</v>
      </c>
      <c r="H29" s="11">
        <v>27</v>
      </c>
      <c r="I29" s="12">
        <f t="shared" si="0"/>
        <v>714</v>
      </c>
      <c r="J29" s="11">
        <v>600</v>
      </c>
      <c r="K29">
        <v>1</v>
      </c>
    </row>
    <row r="30" spans="1:10" ht="16.5">
      <c r="A30" s="9" t="s">
        <v>35</v>
      </c>
      <c r="C30">
        <v>1</v>
      </c>
      <c r="D30" s="10">
        <v>0</v>
      </c>
      <c r="E30" s="11"/>
      <c r="F30" s="11"/>
      <c r="G30" s="11"/>
      <c r="H30" s="11"/>
      <c r="I30" s="12">
        <f t="shared" si="0"/>
        <v>0</v>
      </c>
      <c r="J30" s="11"/>
    </row>
    <row r="31" spans="1:10" ht="16.5">
      <c r="A31" s="26" t="s">
        <v>36</v>
      </c>
      <c r="C31">
        <v>1</v>
      </c>
      <c r="D31" s="10">
        <v>0</v>
      </c>
      <c r="H31" s="11"/>
      <c r="I31" s="12">
        <f t="shared" si="0"/>
        <v>0</v>
      </c>
      <c r="J31" s="11"/>
    </row>
    <row r="32" spans="1:10" ht="16.5">
      <c r="A32" s="26" t="s">
        <v>37</v>
      </c>
      <c r="C32">
        <v>1</v>
      </c>
      <c r="D32" s="10">
        <v>92</v>
      </c>
      <c r="E32" s="11"/>
      <c r="F32" s="11">
        <v>19</v>
      </c>
      <c r="G32" s="11">
        <v>46</v>
      </c>
      <c r="H32" s="11"/>
      <c r="I32" s="12">
        <f t="shared" si="0"/>
        <v>65</v>
      </c>
      <c r="J32" s="11">
        <v>0</v>
      </c>
    </row>
    <row r="33" spans="1:10" ht="16.5">
      <c r="A33" s="9" t="s">
        <v>38</v>
      </c>
      <c r="C33">
        <v>1</v>
      </c>
      <c r="D33" s="10">
        <v>330</v>
      </c>
      <c r="E33" s="11"/>
      <c r="F33" s="11"/>
      <c r="G33" s="11"/>
      <c r="H33" s="11"/>
      <c r="I33" s="12">
        <f t="shared" si="0"/>
        <v>0</v>
      </c>
      <c r="J33" s="11">
        <v>200</v>
      </c>
    </row>
    <row r="34" spans="1:10" ht="16.5">
      <c r="A34" s="26" t="s">
        <v>39</v>
      </c>
      <c r="C34">
        <v>1</v>
      </c>
      <c r="D34" s="10">
        <v>222</v>
      </c>
      <c r="E34" s="11">
        <v>21</v>
      </c>
      <c r="F34" s="11">
        <v>155</v>
      </c>
      <c r="G34" s="11"/>
      <c r="H34" s="11">
        <v>2</v>
      </c>
      <c r="I34" s="12">
        <f t="shared" si="0"/>
        <v>178</v>
      </c>
      <c r="J34" s="11">
        <v>800</v>
      </c>
    </row>
    <row r="35" spans="1:10" ht="16.5">
      <c r="A35" s="26" t="s">
        <v>40</v>
      </c>
      <c r="C35">
        <v>1</v>
      </c>
      <c r="D35" s="10">
        <v>217</v>
      </c>
      <c r="E35" s="11"/>
      <c r="F35" s="11">
        <v>95</v>
      </c>
      <c r="G35" s="11">
        <v>106</v>
      </c>
      <c r="H35" s="11">
        <v>1</v>
      </c>
      <c r="I35" s="12">
        <f t="shared" si="0"/>
        <v>202</v>
      </c>
      <c r="J35" s="11">
        <v>200</v>
      </c>
    </row>
    <row r="36" spans="1:10" ht="16.5">
      <c r="A36" s="4" t="s">
        <v>41</v>
      </c>
      <c r="B36" s="8">
        <v>5</v>
      </c>
      <c r="C36" s="8"/>
      <c r="D36" s="10">
        <v>0</v>
      </c>
      <c r="E36" s="15"/>
      <c r="F36" s="15"/>
      <c r="G36" s="15"/>
      <c r="H36" s="15"/>
      <c r="I36" s="12">
        <f t="shared" si="0"/>
        <v>0</v>
      </c>
      <c r="J36" s="15"/>
    </row>
    <row r="37" spans="1:10" ht="16.5">
      <c r="A37" s="9" t="s">
        <v>42</v>
      </c>
      <c r="C37">
        <v>1</v>
      </c>
      <c r="D37" s="10">
        <v>0</v>
      </c>
      <c r="E37" s="11"/>
      <c r="F37" s="11"/>
      <c r="G37" s="11"/>
      <c r="H37" s="11"/>
      <c r="I37" s="12">
        <f t="shared" si="0"/>
        <v>0</v>
      </c>
      <c r="J37" s="11"/>
    </row>
    <row r="38" spans="1:10" ht="16.5">
      <c r="A38" s="26" t="s">
        <v>43</v>
      </c>
      <c r="B38">
        <v>1</v>
      </c>
      <c r="C38" s="13" t="s">
        <v>44</v>
      </c>
      <c r="D38" s="10">
        <v>190</v>
      </c>
      <c r="E38" s="11"/>
      <c r="F38" s="11">
        <v>97</v>
      </c>
      <c r="G38" s="11">
        <v>14</v>
      </c>
      <c r="H38" s="11"/>
      <c r="I38" s="12">
        <f t="shared" si="0"/>
        <v>111</v>
      </c>
      <c r="J38" s="11">
        <v>0</v>
      </c>
    </row>
    <row r="39" spans="1:10" ht="16.5">
      <c r="A39" s="9" t="s">
        <v>45</v>
      </c>
      <c r="B39">
        <v>1</v>
      </c>
      <c r="D39" s="10">
        <v>0</v>
      </c>
      <c r="E39" s="11"/>
      <c r="F39" s="11"/>
      <c r="G39" s="11"/>
      <c r="H39" s="11"/>
      <c r="I39" s="12">
        <f t="shared" si="0"/>
        <v>0</v>
      </c>
      <c r="J39" s="11"/>
    </row>
    <row r="40" spans="1:10" ht="16.5">
      <c r="A40" s="4" t="s">
        <v>46</v>
      </c>
      <c r="B40" s="8">
        <v>1</v>
      </c>
      <c r="C40" s="8"/>
      <c r="D40" s="10">
        <v>0</v>
      </c>
      <c r="E40" s="15"/>
      <c r="F40" s="15"/>
      <c r="G40" s="15"/>
      <c r="H40" s="15"/>
      <c r="I40" s="12">
        <f t="shared" si="0"/>
        <v>0</v>
      </c>
      <c r="J40" s="15"/>
    </row>
    <row r="41" spans="1:10" ht="16.5">
      <c r="A41" s="16" t="s">
        <v>47</v>
      </c>
      <c r="B41">
        <v>1</v>
      </c>
      <c r="D41" s="10">
        <v>0</v>
      </c>
      <c r="E41" s="11"/>
      <c r="F41" s="11"/>
      <c r="G41" s="11"/>
      <c r="H41" s="11"/>
      <c r="I41" s="12">
        <f t="shared" si="0"/>
        <v>0</v>
      </c>
      <c r="J41" s="11"/>
    </row>
    <row r="42" spans="1:10" ht="16.5">
      <c r="A42" s="9" t="s">
        <v>48</v>
      </c>
      <c r="B42">
        <v>1</v>
      </c>
      <c r="D42" s="10">
        <v>0</v>
      </c>
      <c r="E42" s="11"/>
      <c r="F42" s="11"/>
      <c r="G42" s="11"/>
      <c r="H42" s="11"/>
      <c r="I42" s="12">
        <f t="shared" si="0"/>
        <v>0</v>
      </c>
      <c r="J42" s="11"/>
    </row>
    <row r="43" spans="1:10" ht="16.5">
      <c r="A43" s="4" t="s">
        <v>49</v>
      </c>
      <c r="B43" s="8">
        <v>1</v>
      </c>
      <c r="C43" s="8"/>
      <c r="D43" s="10">
        <v>0</v>
      </c>
      <c r="E43" s="15"/>
      <c r="F43" s="15"/>
      <c r="G43" s="15"/>
      <c r="H43" s="15"/>
      <c r="I43" s="12">
        <f t="shared" si="0"/>
        <v>0</v>
      </c>
      <c r="J43" s="15"/>
    </row>
    <row r="44" spans="1:10" ht="16.5">
      <c r="A44" s="4" t="s">
        <v>50</v>
      </c>
      <c r="B44" s="8"/>
      <c r="C44" s="8">
        <v>1</v>
      </c>
      <c r="D44" s="10">
        <v>0</v>
      </c>
      <c r="E44" s="15"/>
      <c r="F44" s="15"/>
      <c r="G44" s="15"/>
      <c r="H44" s="15"/>
      <c r="I44" s="12">
        <f t="shared" si="0"/>
        <v>0</v>
      </c>
      <c r="J44" s="15"/>
    </row>
    <row r="45" spans="1:10" ht="16.5">
      <c r="A45" s="26" t="s">
        <v>51</v>
      </c>
      <c r="C45">
        <v>1</v>
      </c>
      <c r="D45" s="10">
        <v>90</v>
      </c>
      <c r="E45" s="11"/>
      <c r="F45" s="11">
        <v>39</v>
      </c>
      <c r="G45" s="11">
        <v>12</v>
      </c>
      <c r="H45" s="11"/>
      <c r="I45" s="12">
        <f t="shared" si="0"/>
        <v>51</v>
      </c>
      <c r="J45" s="11">
        <v>0</v>
      </c>
    </row>
    <row r="46" spans="1:10" ht="16.5">
      <c r="A46" s="4" t="s">
        <v>52</v>
      </c>
      <c r="B46" s="8"/>
      <c r="C46" s="8">
        <v>1</v>
      </c>
      <c r="D46" s="10">
        <v>0</v>
      </c>
      <c r="E46" s="15"/>
      <c r="F46" s="15"/>
      <c r="G46" s="15"/>
      <c r="H46" s="15"/>
      <c r="I46" s="12">
        <f t="shared" si="0"/>
        <v>0</v>
      </c>
      <c r="J46" s="15"/>
    </row>
    <row r="47" spans="1:10" ht="16.5">
      <c r="A47" s="9" t="s">
        <v>53</v>
      </c>
      <c r="C47">
        <v>1</v>
      </c>
      <c r="D47" s="10">
        <v>0</v>
      </c>
      <c r="E47" s="11"/>
      <c r="F47" s="11"/>
      <c r="G47" s="11"/>
      <c r="H47" s="11"/>
      <c r="I47" s="12">
        <f t="shared" si="0"/>
        <v>0</v>
      </c>
      <c r="J47" s="11"/>
    </row>
    <row r="48" spans="1:10" ht="16.5">
      <c r="A48" s="9" t="s">
        <v>54</v>
      </c>
      <c r="B48">
        <v>1</v>
      </c>
      <c r="C48">
        <v>1</v>
      </c>
      <c r="D48" s="10">
        <v>0</v>
      </c>
      <c r="E48" s="11"/>
      <c r="F48" s="11"/>
      <c r="I48" s="12">
        <f t="shared" si="0"/>
        <v>0</v>
      </c>
      <c r="J48" s="11"/>
    </row>
    <row r="49" spans="1:10" ht="16.5">
      <c r="A49" s="9" t="s">
        <v>55</v>
      </c>
      <c r="C49">
        <v>1</v>
      </c>
      <c r="D49" s="10">
        <v>0</v>
      </c>
      <c r="I49" s="12">
        <f t="shared" si="0"/>
        <v>0</v>
      </c>
      <c r="J49" s="11"/>
    </row>
    <row r="50" spans="1:10" ht="16.5">
      <c r="A50" s="9" t="s">
        <v>56</v>
      </c>
      <c r="C50">
        <v>1</v>
      </c>
      <c r="D50" s="10">
        <v>0</v>
      </c>
      <c r="I50" s="12">
        <f t="shared" si="0"/>
        <v>0</v>
      </c>
      <c r="J50" s="11"/>
    </row>
    <row r="51" spans="1:10" ht="16.5">
      <c r="A51" s="9" t="s">
        <v>57</v>
      </c>
      <c r="C51">
        <v>1</v>
      </c>
      <c r="D51" s="10">
        <v>0</v>
      </c>
      <c r="E51" s="11"/>
      <c r="F51" s="11"/>
      <c r="G51" s="11"/>
      <c r="H51" s="11"/>
      <c r="I51" s="12">
        <f t="shared" si="0"/>
        <v>0</v>
      </c>
      <c r="J51" s="11"/>
    </row>
    <row r="52" spans="1:10" ht="16.5">
      <c r="A52" s="4" t="s">
        <v>58</v>
      </c>
      <c r="B52" s="8"/>
      <c r="C52" s="8">
        <v>1</v>
      </c>
      <c r="D52" s="10">
        <v>0</v>
      </c>
      <c r="E52" s="15"/>
      <c r="F52" s="15"/>
      <c r="G52" s="15"/>
      <c r="H52" s="15"/>
      <c r="I52" s="12">
        <f t="shared" si="0"/>
        <v>0</v>
      </c>
      <c r="J52" s="15"/>
    </row>
    <row r="53" spans="1:10" ht="16.5">
      <c r="A53" s="4" t="s">
        <v>59</v>
      </c>
      <c r="B53" s="8"/>
      <c r="C53" s="8">
        <v>1</v>
      </c>
      <c r="D53" s="10">
        <v>0</v>
      </c>
      <c r="E53" s="15"/>
      <c r="F53" s="15"/>
      <c r="G53" s="15"/>
      <c r="H53" s="15"/>
      <c r="I53" s="12">
        <f t="shared" si="0"/>
        <v>0</v>
      </c>
      <c r="J53" s="15"/>
    </row>
    <row r="54" spans="1:10" ht="16.5">
      <c r="A54" s="16" t="s">
        <v>60</v>
      </c>
      <c r="B54">
        <v>1</v>
      </c>
      <c r="D54" s="10">
        <v>0</v>
      </c>
      <c r="E54" s="11"/>
      <c r="F54" s="11"/>
      <c r="G54" s="11"/>
      <c r="H54" s="11"/>
      <c r="I54" s="12">
        <f t="shared" si="0"/>
        <v>0</v>
      </c>
      <c r="J54" s="11"/>
    </row>
    <row r="55" spans="1:10" ht="16.5">
      <c r="A55" s="4" t="s">
        <v>61</v>
      </c>
      <c r="B55" s="8">
        <v>1</v>
      </c>
      <c r="C55" s="17" t="s">
        <v>44</v>
      </c>
      <c r="D55" s="10">
        <v>0</v>
      </c>
      <c r="E55" s="15"/>
      <c r="F55" s="15"/>
      <c r="G55" s="15"/>
      <c r="H55" s="15"/>
      <c r="I55" s="12">
        <f t="shared" si="0"/>
        <v>0</v>
      </c>
      <c r="J55" s="15"/>
    </row>
    <row r="56" spans="1:10" ht="16.5">
      <c r="A56" s="18" t="s">
        <v>62</v>
      </c>
      <c r="B56" s="19">
        <v>1</v>
      </c>
      <c r="C56" s="19"/>
      <c r="D56" s="10">
        <v>0</v>
      </c>
      <c r="E56" s="20"/>
      <c r="F56" s="20"/>
      <c r="G56" s="20"/>
      <c r="H56" s="20"/>
      <c r="I56" s="12">
        <f t="shared" si="0"/>
        <v>0</v>
      </c>
      <c r="J56" s="20"/>
    </row>
    <row r="57" spans="1:10" ht="16.5">
      <c r="A57" s="9" t="s">
        <v>63</v>
      </c>
      <c r="B57">
        <v>1</v>
      </c>
      <c r="D57" s="10">
        <v>0</v>
      </c>
      <c r="E57" s="11"/>
      <c r="F57" s="11"/>
      <c r="G57" s="11"/>
      <c r="H57" s="11"/>
      <c r="I57" s="12">
        <f t="shared" si="0"/>
        <v>0</v>
      </c>
      <c r="J57" s="11"/>
    </row>
    <row r="58" spans="1:10" ht="16.5">
      <c r="A58" s="9" t="s">
        <v>64</v>
      </c>
      <c r="B58">
        <v>1</v>
      </c>
      <c r="D58" s="10">
        <v>0</v>
      </c>
      <c r="E58" s="11"/>
      <c r="F58" s="11"/>
      <c r="G58" s="11"/>
      <c r="H58" s="11"/>
      <c r="I58" s="12">
        <f t="shared" si="0"/>
        <v>0</v>
      </c>
      <c r="J58" s="11"/>
    </row>
    <row r="59" spans="1:10" ht="16.5">
      <c r="A59" s="4" t="s">
        <v>65</v>
      </c>
      <c r="B59" s="8"/>
      <c r="C59" s="8">
        <v>1</v>
      </c>
      <c r="D59" s="10">
        <v>0</v>
      </c>
      <c r="E59" s="15"/>
      <c r="F59" s="15"/>
      <c r="G59" s="15"/>
      <c r="H59" s="15"/>
      <c r="I59" s="12">
        <f t="shared" si="0"/>
        <v>0</v>
      </c>
      <c r="J59" s="15"/>
    </row>
    <row r="60" spans="1:10" ht="16.5">
      <c r="A60" s="26" t="s">
        <v>66</v>
      </c>
      <c r="C60">
        <v>1</v>
      </c>
      <c r="D60" s="10">
        <v>37</v>
      </c>
      <c r="E60" s="11"/>
      <c r="F60" s="11">
        <v>51</v>
      </c>
      <c r="G60" s="11">
        <v>1</v>
      </c>
      <c r="H60" s="11">
        <v>1</v>
      </c>
      <c r="I60" s="12">
        <f t="shared" si="0"/>
        <v>53</v>
      </c>
      <c r="J60" s="11">
        <v>0</v>
      </c>
    </row>
    <row r="61" spans="1:10" ht="16.5">
      <c r="A61" s="28" t="s">
        <v>67</v>
      </c>
      <c r="C61">
        <v>2</v>
      </c>
      <c r="D61" s="10">
        <v>438</v>
      </c>
      <c r="E61" s="11">
        <v>9</v>
      </c>
      <c r="F61" s="11">
        <v>161</v>
      </c>
      <c r="G61" s="11">
        <v>61</v>
      </c>
      <c r="H61" s="11"/>
      <c r="I61" s="12">
        <f t="shared" si="0"/>
        <v>231</v>
      </c>
      <c r="J61" s="11">
        <v>1200</v>
      </c>
    </row>
    <row r="62" spans="1:10" ht="16.5">
      <c r="A62" s="21" t="s">
        <v>68</v>
      </c>
      <c r="C62">
        <v>1</v>
      </c>
      <c r="D62" s="10">
        <v>38</v>
      </c>
      <c r="E62" s="11">
        <v>48</v>
      </c>
      <c r="F62" s="11">
        <v>146</v>
      </c>
      <c r="G62" s="11"/>
      <c r="H62" s="11">
        <v>3</v>
      </c>
      <c r="I62" s="12">
        <f t="shared" si="0"/>
        <v>197</v>
      </c>
      <c r="J62" s="11">
        <v>0</v>
      </c>
    </row>
    <row r="63" spans="1:10" ht="16.5">
      <c r="A63" s="21" t="s">
        <v>69</v>
      </c>
      <c r="C63">
        <v>19</v>
      </c>
      <c r="D63" s="10">
        <v>1094</v>
      </c>
      <c r="E63" s="11">
        <v>1</v>
      </c>
      <c r="F63" s="11">
        <v>77</v>
      </c>
      <c r="G63" s="11">
        <v>57</v>
      </c>
      <c r="H63" s="11">
        <v>0</v>
      </c>
      <c r="I63" s="12">
        <f t="shared" si="0"/>
        <v>135</v>
      </c>
      <c r="J63" s="11">
        <v>200</v>
      </c>
    </row>
    <row r="64" spans="1:10" ht="16.5">
      <c r="A64" s="21" t="s">
        <v>70</v>
      </c>
      <c r="C64">
        <v>1</v>
      </c>
      <c r="D64" s="10">
        <v>0</v>
      </c>
      <c r="E64" s="11"/>
      <c r="F64" s="11"/>
      <c r="G64" s="11"/>
      <c r="H64" s="11"/>
      <c r="I64" s="12">
        <f t="shared" si="0"/>
        <v>0</v>
      </c>
      <c r="J64" s="11"/>
    </row>
    <row r="65" spans="1:10" ht="16.5">
      <c r="A65" s="28" t="s">
        <v>71</v>
      </c>
      <c r="C65">
        <v>1</v>
      </c>
      <c r="D65" s="10">
        <v>241</v>
      </c>
      <c r="E65" s="11">
        <v>0</v>
      </c>
      <c r="F65" s="11">
        <v>29</v>
      </c>
      <c r="G65" s="11">
        <v>32</v>
      </c>
      <c r="H65" s="11">
        <v>1</v>
      </c>
      <c r="I65" s="12">
        <f t="shared" si="0"/>
        <v>62</v>
      </c>
      <c r="J65" s="11">
        <v>1000</v>
      </c>
    </row>
    <row r="66" spans="1:10" ht="16.5">
      <c r="A66" s="21" t="s">
        <v>72</v>
      </c>
      <c r="C66">
        <v>1</v>
      </c>
      <c r="D66" s="10">
        <v>226</v>
      </c>
      <c r="E66" s="11"/>
      <c r="F66" s="11"/>
      <c r="G66" s="11"/>
      <c r="H66" s="11"/>
      <c r="I66" s="12">
        <f t="shared" si="0"/>
        <v>0</v>
      </c>
      <c r="J66" s="11">
        <v>200</v>
      </c>
    </row>
    <row r="67" spans="1:10" ht="16.5">
      <c r="A67" s="22" t="s">
        <v>107</v>
      </c>
      <c r="C67">
        <v>1</v>
      </c>
      <c r="D67" s="10">
        <v>162</v>
      </c>
      <c r="E67" s="11">
        <v>89</v>
      </c>
      <c r="F67" s="11">
        <v>95</v>
      </c>
      <c r="G67" s="11">
        <v>2</v>
      </c>
      <c r="H67" s="11">
        <v>2</v>
      </c>
      <c r="I67" s="12">
        <f t="shared" si="0"/>
        <v>188</v>
      </c>
      <c r="J67" s="11">
        <v>0</v>
      </c>
    </row>
    <row r="68" spans="1:10" ht="16.5">
      <c r="A68" s="28" t="s">
        <v>74</v>
      </c>
      <c r="C68">
        <v>1</v>
      </c>
      <c r="D68" s="10">
        <v>101</v>
      </c>
      <c r="E68" s="11">
        <v>3</v>
      </c>
      <c r="F68" s="11">
        <f>162+15-1</f>
        <v>176</v>
      </c>
      <c r="G68" s="11">
        <v>3</v>
      </c>
      <c r="H68" s="11">
        <v>5</v>
      </c>
      <c r="I68" s="12">
        <f t="shared" si="0"/>
        <v>187</v>
      </c>
      <c r="J68" s="11">
        <v>0</v>
      </c>
    </row>
    <row r="69" spans="1:10" ht="16.5">
      <c r="A69" s="21" t="s">
        <v>75</v>
      </c>
      <c r="C69">
        <v>1</v>
      </c>
      <c r="D69" s="10">
        <v>160</v>
      </c>
      <c r="E69" s="11"/>
      <c r="F69" s="11"/>
      <c r="G69" s="11">
        <v>2</v>
      </c>
      <c r="H69" s="11"/>
      <c r="I69" s="12">
        <f aca="true" t="shared" si="1" ref="I69:I78">SUM(E69:H69)</f>
        <v>2</v>
      </c>
      <c r="J69" s="11">
        <v>0</v>
      </c>
    </row>
    <row r="70" spans="1:10" ht="16.5">
      <c r="A70" s="28" t="s">
        <v>76</v>
      </c>
      <c r="D70" s="10">
        <v>229</v>
      </c>
      <c r="E70" s="11"/>
      <c r="F70" s="11">
        <v>17</v>
      </c>
      <c r="G70" s="11">
        <f>6+58+13</f>
        <v>77</v>
      </c>
      <c r="H70" s="11"/>
      <c r="I70" s="12">
        <f t="shared" si="1"/>
        <v>94</v>
      </c>
      <c r="J70" s="11">
        <v>200</v>
      </c>
    </row>
    <row r="71" spans="1:10" ht="16.5">
      <c r="A71" s="28" t="s">
        <v>77</v>
      </c>
      <c r="C71">
        <v>1</v>
      </c>
      <c r="D71" s="10">
        <v>168</v>
      </c>
      <c r="E71" s="11"/>
      <c r="F71" s="11"/>
      <c r="G71" s="11"/>
      <c r="H71" s="11"/>
      <c r="I71" s="12">
        <f t="shared" si="1"/>
        <v>0</v>
      </c>
      <c r="J71" s="11">
        <v>1000</v>
      </c>
    </row>
    <row r="72" spans="1:10" ht="16.5">
      <c r="A72" s="28" t="s">
        <v>78</v>
      </c>
      <c r="C72">
        <v>1</v>
      </c>
      <c r="D72" s="10">
        <v>82</v>
      </c>
      <c r="E72" s="11"/>
      <c r="F72" s="11"/>
      <c r="G72" s="11"/>
      <c r="H72" s="11"/>
      <c r="I72" s="12">
        <f t="shared" si="1"/>
        <v>0</v>
      </c>
      <c r="J72" s="11">
        <v>0</v>
      </c>
    </row>
    <row r="73" spans="1:10" ht="16.5">
      <c r="A73" s="28" t="s">
        <v>79</v>
      </c>
      <c r="C73">
        <v>1</v>
      </c>
      <c r="D73" s="10">
        <v>87</v>
      </c>
      <c r="E73" s="11">
        <v>53</v>
      </c>
      <c r="F73" s="11">
        <v>123</v>
      </c>
      <c r="G73" s="11"/>
      <c r="H73" s="11">
        <v>18</v>
      </c>
      <c r="I73" s="12">
        <f t="shared" si="1"/>
        <v>194</v>
      </c>
      <c r="J73" s="11">
        <v>200</v>
      </c>
    </row>
    <row r="74" spans="1:10" ht="16.5">
      <c r="A74" s="21" t="s">
        <v>80</v>
      </c>
      <c r="B74">
        <v>1</v>
      </c>
      <c r="D74" s="10">
        <v>54</v>
      </c>
      <c r="E74" s="11"/>
      <c r="F74" s="11"/>
      <c r="G74" s="11"/>
      <c r="H74" s="11"/>
      <c r="I74" s="12">
        <f t="shared" si="1"/>
        <v>0</v>
      </c>
      <c r="J74" s="11">
        <v>0</v>
      </c>
    </row>
    <row r="75" spans="1:10" ht="16.5">
      <c r="A75" s="28" t="s">
        <v>81</v>
      </c>
      <c r="C75">
        <v>1</v>
      </c>
      <c r="D75" s="10">
        <v>81</v>
      </c>
      <c r="E75" s="11"/>
      <c r="F75" s="11">
        <v>6</v>
      </c>
      <c r="G75" s="11">
        <v>61</v>
      </c>
      <c r="H75" s="11"/>
      <c r="I75" s="12">
        <f t="shared" si="1"/>
        <v>67</v>
      </c>
      <c r="J75" s="11">
        <v>0</v>
      </c>
    </row>
    <row r="76" spans="1:10" ht="16.5">
      <c r="A76" s="21" t="s">
        <v>93</v>
      </c>
      <c r="D76" s="10">
        <v>189</v>
      </c>
      <c r="E76" s="11"/>
      <c r="F76" s="11"/>
      <c r="G76" s="11"/>
      <c r="H76" s="11"/>
      <c r="I76" s="12">
        <f t="shared" si="1"/>
        <v>0</v>
      </c>
      <c r="J76" s="11">
        <v>0</v>
      </c>
    </row>
    <row r="77" spans="1:11" ht="16.5">
      <c r="A77" s="21" t="s">
        <v>108</v>
      </c>
      <c r="C77">
        <v>10</v>
      </c>
      <c r="D77" s="10">
        <v>0</v>
      </c>
      <c r="E77" s="11">
        <v>8</v>
      </c>
      <c r="F77" s="11">
        <v>47</v>
      </c>
      <c r="G77" s="11">
        <f>400+400+347</f>
        <v>1147</v>
      </c>
      <c r="H77" s="11">
        <v>4</v>
      </c>
      <c r="I77" s="12">
        <f t="shared" si="1"/>
        <v>1206</v>
      </c>
      <c r="J77" s="11">
        <v>5200</v>
      </c>
      <c r="K77">
        <v>1008</v>
      </c>
    </row>
    <row r="78" spans="1:11" ht="16.5">
      <c r="A78" s="21" t="s">
        <v>111</v>
      </c>
      <c r="C78">
        <v>300</v>
      </c>
      <c r="D78" s="10">
        <v>0</v>
      </c>
      <c r="E78" s="11">
        <v>1</v>
      </c>
      <c r="F78" s="11">
        <f>118+3</f>
        <v>121</v>
      </c>
      <c r="G78" s="11">
        <f>2400+137+100</f>
        <v>2637</v>
      </c>
      <c r="H78" s="11"/>
      <c r="I78" s="12">
        <f t="shared" si="1"/>
        <v>2759</v>
      </c>
      <c r="J78" s="11">
        <v>200</v>
      </c>
      <c r="K78">
        <v>1</v>
      </c>
    </row>
    <row r="79" spans="1:12" ht="16.5">
      <c r="A79" s="23" t="s">
        <v>82</v>
      </c>
      <c r="B79" s="24">
        <f>SUM(B3:B78)</f>
        <v>51</v>
      </c>
      <c r="C79" s="24">
        <f>SUM(C3:C78)</f>
        <v>371</v>
      </c>
      <c r="D79" s="24">
        <f aca="true" t="shared" si="2" ref="D79:J79">SUM(D3:D78)</f>
        <v>11864</v>
      </c>
      <c r="E79" s="24">
        <f t="shared" si="2"/>
        <v>1105</v>
      </c>
      <c r="F79" s="24">
        <f t="shared" si="2"/>
        <v>9141</v>
      </c>
      <c r="G79" s="24">
        <f t="shared" si="2"/>
        <v>5388</v>
      </c>
      <c r="H79" s="24">
        <f t="shared" si="2"/>
        <v>597</v>
      </c>
      <c r="I79" s="24">
        <f t="shared" si="2"/>
        <v>16231</v>
      </c>
      <c r="J79" s="24">
        <f t="shared" si="2"/>
        <v>29400</v>
      </c>
      <c r="K79">
        <f>SUM(K3:K78)</f>
        <v>1074</v>
      </c>
      <c r="L79" t="s">
        <v>110</v>
      </c>
    </row>
    <row r="80" spans="1:9" ht="16.5">
      <c r="A80" s="9"/>
      <c r="D80" s="14"/>
      <c r="I80" s="25"/>
    </row>
    <row r="81" spans="1:9" ht="16.5">
      <c r="A81" s="9" t="s">
        <v>83</v>
      </c>
      <c r="C81">
        <v>2</v>
      </c>
      <c r="I81" s="25"/>
    </row>
    <row r="82" spans="9:10" ht="16.5">
      <c r="I82" s="34" t="s">
        <v>109</v>
      </c>
      <c r="J82" s="32">
        <f>SUM(J79-G79)/(I79)</f>
        <v>1.4793912882755222</v>
      </c>
    </row>
  </sheetData>
  <mergeCells count="5">
    <mergeCell ref="K1:K2"/>
    <mergeCell ref="A1:A2"/>
    <mergeCell ref="B1:C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pane xSplit="4" ySplit="2" topLeftCell="I7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3" sqref="G3:G81"/>
    </sheetView>
  </sheetViews>
  <sheetFormatPr defaultColWidth="9.00390625" defaultRowHeight="16.5"/>
  <cols>
    <col min="1" max="1" width="31.375" style="0" customWidth="1"/>
    <col min="2" max="2" width="4.375" style="0" customWidth="1"/>
    <col min="3" max="3" width="5.375" style="0" customWidth="1"/>
    <col min="4" max="4" width="9.125" style="0" customWidth="1"/>
  </cols>
  <sheetData>
    <row r="1" spans="1:11" ht="16.5">
      <c r="A1" s="43" t="s">
        <v>0</v>
      </c>
      <c r="B1" s="44" t="s">
        <v>1</v>
      </c>
      <c r="C1" s="44"/>
      <c r="D1" s="3" t="s">
        <v>3</v>
      </c>
      <c r="E1" s="2" t="s">
        <v>3</v>
      </c>
      <c r="F1" s="2" t="s">
        <v>4</v>
      </c>
      <c r="G1" s="2" t="s">
        <v>4</v>
      </c>
      <c r="H1" s="3" t="s">
        <v>5</v>
      </c>
      <c r="I1" s="43" t="s">
        <v>6</v>
      </c>
      <c r="J1" s="43" t="s">
        <v>7</v>
      </c>
      <c r="K1" s="45" t="s">
        <v>112</v>
      </c>
    </row>
    <row r="2" spans="1:11" ht="16.5">
      <c r="A2" s="43"/>
      <c r="B2" s="5" t="s">
        <v>8</v>
      </c>
      <c r="C2" s="5" t="s">
        <v>9</v>
      </c>
      <c r="D2" s="6" t="s">
        <v>113</v>
      </c>
      <c r="E2" s="7" t="s">
        <v>90</v>
      </c>
      <c r="F2" s="7" t="s">
        <v>106</v>
      </c>
      <c r="G2" s="7" t="s">
        <v>114</v>
      </c>
      <c r="H2" s="3" t="s">
        <v>11</v>
      </c>
      <c r="I2" s="43"/>
      <c r="J2" s="43"/>
      <c r="K2" s="45"/>
    </row>
    <row r="3" spans="1:10" ht="16.5">
      <c r="A3" s="26" t="s">
        <v>12</v>
      </c>
      <c r="B3">
        <v>1</v>
      </c>
      <c r="D3" s="10">
        <v>19</v>
      </c>
      <c r="E3" s="11"/>
      <c r="F3" s="11">
        <v>97</v>
      </c>
      <c r="G3" s="11">
        <v>204</v>
      </c>
      <c r="H3" s="11"/>
      <c r="I3" s="12">
        <f>SUM(E3:H3)</f>
        <v>301</v>
      </c>
      <c r="J3" s="11"/>
    </row>
    <row r="4" spans="1:10" ht="16.5">
      <c r="A4" s="26" t="s">
        <v>13</v>
      </c>
      <c r="B4">
        <v>1</v>
      </c>
      <c r="D4" s="10">
        <v>60</v>
      </c>
      <c r="E4" s="11">
        <v>2</v>
      </c>
      <c r="F4" s="11">
        <v>59</v>
      </c>
      <c r="G4" s="11">
        <v>134</v>
      </c>
      <c r="H4" s="11"/>
      <c r="I4" s="12">
        <f aca="true" t="shared" si="0" ref="I4:I69">SUM(E4:H4)</f>
        <v>195</v>
      </c>
      <c r="J4" s="36">
        <v>200</v>
      </c>
    </row>
    <row r="5" spans="1:10" ht="16.5">
      <c r="A5" s="26" t="s">
        <v>14</v>
      </c>
      <c r="B5">
        <v>1</v>
      </c>
      <c r="D5" s="10">
        <v>182</v>
      </c>
      <c r="E5" s="11">
        <v>1</v>
      </c>
      <c r="F5" s="11">
        <v>148</v>
      </c>
      <c r="G5" s="11">
        <v>363</v>
      </c>
      <c r="H5" s="11"/>
      <c r="I5" s="12">
        <f t="shared" si="0"/>
        <v>512</v>
      </c>
      <c r="J5" s="36">
        <v>200</v>
      </c>
    </row>
    <row r="6" spans="1:10" ht="16.5">
      <c r="A6" s="26" t="s">
        <v>15</v>
      </c>
      <c r="B6">
        <v>1</v>
      </c>
      <c r="D6" s="10">
        <v>135</v>
      </c>
      <c r="E6" s="11">
        <v>38</v>
      </c>
      <c r="F6" s="11">
        <v>166</v>
      </c>
      <c r="G6" s="11">
        <v>369</v>
      </c>
      <c r="H6" s="11">
        <v>81</v>
      </c>
      <c r="I6" s="12">
        <f t="shared" si="0"/>
        <v>654</v>
      </c>
      <c r="J6" s="36">
        <f>200+200</f>
        <v>400</v>
      </c>
    </row>
    <row r="7" spans="1:10" ht="16.5">
      <c r="A7" s="26" t="s">
        <v>16</v>
      </c>
      <c r="B7">
        <v>1</v>
      </c>
      <c r="C7">
        <v>2</v>
      </c>
      <c r="D7" s="10">
        <v>136</v>
      </c>
      <c r="E7" s="11">
        <v>41</v>
      </c>
      <c r="F7" s="11">
        <v>347</v>
      </c>
      <c r="G7" s="11">
        <v>455</v>
      </c>
      <c r="H7" s="11">
        <v>19</v>
      </c>
      <c r="I7" s="12">
        <f t="shared" si="0"/>
        <v>862</v>
      </c>
      <c r="J7" s="11"/>
    </row>
    <row r="8" spans="1:10" ht="16.5">
      <c r="A8" s="26" t="s">
        <v>121</v>
      </c>
      <c r="C8">
        <v>1</v>
      </c>
      <c r="D8" s="10">
        <v>0</v>
      </c>
      <c r="E8" s="11"/>
      <c r="F8" s="11">
        <v>74</v>
      </c>
      <c r="G8" s="11">
        <v>135</v>
      </c>
      <c r="H8" s="11">
        <v>2</v>
      </c>
      <c r="I8" s="12">
        <f t="shared" si="0"/>
        <v>211</v>
      </c>
      <c r="J8" s="11"/>
    </row>
    <row r="9" spans="1:10" ht="16.5">
      <c r="A9" s="9" t="s">
        <v>17</v>
      </c>
      <c r="B9">
        <v>1</v>
      </c>
      <c r="C9">
        <v>1</v>
      </c>
      <c r="D9" s="10">
        <v>114</v>
      </c>
      <c r="E9" s="11">
        <v>4</v>
      </c>
      <c r="F9" s="11">
        <v>6</v>
      </c>
      <c r="G9" s="11">
        <v>293</v>
      </c>
      <c r="H9" s="11">
        <v>146</v>
      </c>
      <c r="I9" s="12">
        <f t="shared" si="0"/>
        <v>449</v>
      </c>
      <c r="J9" s="11">
        <v>0</v>
      </c>
    </row>
    <row r="10" spans="1:10" ht="16.5">
      <c r="A10" s="9" t="s">
        <v>18</v>
      </c>
      <c r="B10">
        <v>1</v>
      </c>
      <c r="D10" s="10">
        <v>18</v>
      </c>
      <c r="E10" s="11">
        <v>28</v>
      </c>
      <c r="F10" s="11">
        <v>76</v>
      </c>
      <c r="G10" s="11">
        <v>98</v>
      </c>
      <c r="H10" s="11">
        <v>0</v>
      </c>
      <c r="I10" s="12">
        <f t="shared" si="0"/>
        <v>202</v>
      </c>
      <c r="J10" s="11">
        <v>4000</v>
      </c>
    </row>
    <row r="11" spans="1:10" ht="16.5">
      <c r="A11" s="9" t="s">
        <v>19</v>
      </c>
      <c r="B11">
        <v>1</v>
      </c>
      <c r="D11" s="10">
        <v>83</v>
      </c>
      <c r="E11" s="11">
        <v>15</v>
      </c>
      <c r="F11" s="11">
        <v>91</v>
      </c>
      <c r="G11" s="11">
        <v>78</v>
      </c>
      <c r="H11" s="11">
        <v>0</v>
      </c>
      <c r="I11" s="12">
        <f t="shared" si="0"/>
        <v>184</v>
      </c>
      <c r="J11" s="11">
        <v>200</v>
      </c>
    </row>
    <row r="12" spans="1:10" ht="16.5">
      <c r="A12" s="9" t="s">
        <v>20</v>
      </c>
      <c r="C12">
        <v>1</v>
      </c>
      <c r="D12" s="10"/>
      <c r="E12" s="11">
        <v>0</v>
      </c>
      <c r="F12" s="11">
        <v>0</v>
      </c>
      <c r="G12" s="11">
        <v>0</v>
      </c>
      <c r="H12" s="11">
        <v>0</v>
      </c>
      <c r="I12" s="12">
        <f t="shared" si="0"/>
        <v>0</v>
      </c>
      <c r="J12" s="11">
        <v>0</v>
      </c>
    </row>
    <row r="13" spans="1:10" ht="16.5">
      <c r="A13" s="26" t="s">
        <v>21</v>
      </c>
      <c r="B13">
        <v>1</v>
      </c>
      <c r="D13" s="10">
        <v>57</v>
      </c>
      <c r="E13" s="11">
        <v>22</v>
      </c>
      <c r="F13" s="11">
        <v>184</v>
      </c>
      <c r="G13" s="11">
        <v>9</v>
      </c>
      <c r="H13">
        <v>0</v>
      </c>
      <c r="I13" s="12">
        <f t="shared" si="0"/>
        <v>215</v>
      </c>
      <c r="J13" s="11">
        <v>200</v>
      </c>
    </row>
    <row r="14" spans="1:10" ht="16.5">
      <c r="A14" s="26" t="s">
        <v>22</v>
      </c>
      <c r="C14">
        <v>1</v>
      </c>
      <c r="D14" s="10"/>
      <c r="E14" s="11">
        <v>17</v>
      </c>
      <c r="F14" s="11">
        <v>166</v>
      </c>
      <c r="G14" s="11">
        <v>0</v>
      </c>
      <c r="H14" s="11">
        <v>5</v>
      </c>
      <c r="I14" s="12">
        <f t="shared" si="0"/>
        <v>188</v>
      </c>
      <c r="J14" s="11">
        <v>200</v>
      </c>
    </row>
    <row r="15" spans="1:10" ht="16.5">
      <c r="A15" s="26" t="s">
        <v>23</v>
      </c>
      <c r="B15">
        <v>1</v>
      </c>
      <c r="D15" s="10">
        <v>129</v>
      </c>
      <c r="E15" s="11">
        <v>0</v>
      </c>
      <c r="F15" s="11">
        <v>174</v>
      </c>
      <c r="G15" s="11">
        <v>99</v>
      </c>
      <c r="H15" s="11">
        <v>0</v>
      </c>
      <c r="I15" s="12">
        <f t="shared" si="0"/>
        <v>273</v>
      </c>
      <c r="J15" s="11">
        <v>200</v>
      </c>
    </row>
    <row r="16" spans="1:10" ht="16.5">
      <c r="A16" s="26" t="s">
        <v>100</v>
      </c>
      <c r="B16">
        <v>2</v>
      </c>
      <c r="D16" s="10">
        <v>10</v>
      </c>
      <c r="E16" s="11">
        <v>0</v>
      </c>
      <c r="F16" s="11">
        <v>0</v>
      </c>
      <c r="G16" s="11">
        <v>0</v>
      </c>
      <c r="H16" s="11">
        <v>0</v>
      </c>
      <c r="I16" s="12">
        <f t="shared" si="0"/>
        <v>0</v>
      </c>
      <c r="J16" s="36">
        <v>200</v>
      </c>
    </row>
    <row r="17" spans="1:10" ht="16.5">
      <c r="A17" s="9" t="s">
        <v>102</v>
      </c>
      <c r="B17">
        <v>4</v>
      </c>
      <c r="D17" s="10"/>
      <c r="E17" s="11">
        <v>0</v>
      </c>
      <c r="F17" s="11">
        <v>0</v>
      </c>
      <c r="G17" s="11">
        <v>0</v>
      </c>
      <c r="H17" s="11">
        <v>0</v>
      </c>
      <c r="I17" s="12">
        <f t="shared" si="0"/>
        <v>0</v>
      </c>
      <c r="J17" s="11">
        <v>0</v>
      </c>
    </row>
    <row r="18" spans="1:10" ht="16.5">
      <c r="A18" s="26" t="s">
        <v>94</v>
      </c>
      <c r="B18">
        <v>2</v>
      </c>
      <c r="D18" s="10"/>
      <c r="E18" s="11"/>
      <c r="F18" s="11"/>
      <c r="G18" s="11"/>
      <c r="H18" s="11"/>
      <c r="I18" s="12">
        <f t="shared" si="0"/>
        <v>0</v>
      </c>
      <c r="J18" s="11"/>
    </row>
    <row r="19" spans="1:10" ht="16.5">
      <c r="A19" s="26" t="s">
        <v>97</v>
      </c>
      <c r="B19">
        <v>2</v>
      </c>
      <c r="D19" s="10"/>
      <c r="E19" s="11">
        <v>0</v>
      </c>
      <c r="F19" s="11">
        <v>1309</v>
      </c>
      <c r="G19" s="11">
        <v>1</v>
      </c>
      <c r="H19" s="11">
        <v>0</v>
      </c>
      <c r="I19" s="12">
        <f t="shared" si="0"/>
        <v>1310</v>
      </c>
      <c r="J19" s="11">
        <v>1600</v>
      </c>
    </row>
    <row r="20" spans="1:10" ht="16.5">
      <c r="A20" s="9" t="s">
        <v>98</v>
      </c>
      <c r="B20">
        <v>2</v>
      </c>
      <c r="D20" s="10"/>
      <c r="E20" s="11">
        <v>0</v>
      </c>
      <c r="F20" s="11">
        <v>421</v>
      </c>
      <c r="G20" s="11">
        <v>0</v>
      </c>
      <c r="H20" s="11">
        <v>0</v>
      </c>
      <c r="I20" s="12">
        <f t="shared" si="0"/>
        <v>421</v>
      </c>
      <c r="J20" s="11">
        <v>1200</v>
      </c>
    </row>
    <row r="21" spans="1:10" ht="16.5">
      <c r="A21" s="26" t="s">
        <v>99</v>
      </c>
      <c r="B21">
        <v>2</v>
      </c>
      <c r="D21" s="10"/>
      <c r="E21" s="11">
        <v>0</v>
      </c>
      <c r="F21" s="11">
        <v>0</v>
      </c>
      <c r="G21" s="11">
        <v>0</v>
      </c>
      <c r="H21" s="11">
        <v>0</v>
      </c>
      <c r="I21" s="12">
        <f t="shared" si="0"/>
        <v>0</v>
      </c>
      <c r="J21" s="11">
        <v>0</v>
      </c>
    </row>
    <row r="22" spans="1:10" ht="16.5">
      <c r="A22" s="26" t="s">
        <v>95</v>
      </c>
      <c r="B22">
        <v>2</v>
      </c>
      <c r="D22" s="10"/>
      <c r="E22" s="11">
        <v>187</v>
      </c>
      <c r="F22" s="11">
        <v>2575</v>
      </c>
      <c r="G22" s="11">
        <v>347</v>
      </c>
      <c r="H22" s="11">
        <v>12</v>
      </c>
      <c r="I22" s="12">
        <f t="shared" si="0"/>
        <v>3121</v>
      </c>
      <c r="J22" s="11">
        <v>2000</v>
      </c>
    </row>
    <row r="23" spans="1:10" ht="16.5">
      <c r="A23" s="26" t="s">
        <v>96</v>
      </c>
      <c r="B23">
        <v>2</v>
      </c>
      <c r="D23" s="10"/>
      <c r="E23" s="11">
        <v>0</v>
      </c>
      <c r="F23" s="11">
        <v>421</v>
      </c>
      <c r="G23" s="11">
        <v>0</v>
      </c>
      <c r="H23" s="11">
        <v>0</v>
      </c>
      <c r="I23" s="12">
        <f t="shared" si="0"/>
        <v>421</v>
      </c>
      <c r="J23" s="11">
        <v>2200</v>
      </c>
    </row>
    <row r="24" spans="1:10" ht="16.5">
      <c r="A24" s="26" t="s">
        <v>101</v>
      </c>
      <c r="B24">
        <v>2</v>
      </c>
      <c r="D24" s="10"/>
      <c r="E24" s="11">
        <f>65+29+600</f>
        <v>694</v>
      </c>
      <c r="F24" s="11">
        <v>376</v>
      </c>
      <c r="G24" s="11">
        <v>256</v>
      </c>
      <c r="H24" s="11">
        <v>0</v>
      </c>
      <c r="I24" s="12">
        <f t="shared" si="0"/>
        <v>1326</v>
      </c>
      <c r="J24" s="11">
        <v>3000</v>
      </c>
    </row>
    <row r="25" spans="1:10" ht="16.5">
      <c r="A25" s="26" t="s">
        <v>103</v>
      </c>
      <c r="B25">
        <v>2</v>
      </c>
      <c r="D25" s="10"/>
      <c r="E25" s="11">
        <v>0</v>
      </c>
      <c r="F25" s="11">
        <v>0</v>
      </c>
      <c r="G25" s="11">
        <v>0</v>
      </c>
      <c r="H25" s="11">
        <v>0</v>
      </c>
      <c r="I25" s="12">
        <f t="shared" si="0"/>
        <v>0</v>
      </c>
      <c r="J25" s="11">
        <v>0</v>
      </c>
    </row>
    <row r="26" spans="1:10" ht="16.5">
      <c r="A26" s="30" t="s">
        <v>30</v>
      </c>
      <c r="B26" s="17"/>
      <c r="C26" s="17">
        <v>1</v>
      </c>
      <c r="D26" s="10"/>
      <c r="E26" s="15"/>
      <c r="F26" s="15"/>
      <c r="G26" s="15"/>
      <c r="H26" s="15"/>
      <c r="I26" s="12">
        <f t="shared" si="0"/>
        <v>0</v>
      </c>
      <c r="J26" s="15"/>
    </row>
    <row r="27" spans="1:10" ht="16.5">
      <c r="A27" s="30" t="s">
        <v>31</v>
      </c>
      <c r="B27" s="17"/>
      <c r="C27" s="17">
        <v>1</v>
      </c>
      <c r="D27" s="10"/>
      <c r="E27" s="15"/>
      <c r="F27" s="15"/>
      <c r="G27" s="15"/>
      <c r="H27" s="15"/>
      <c r="I27" s="12">
        <f t="shared" si="0"/>
        <v>0</v>
      </c>
      <c r="J27" s="15"/>
    </row>
    <row r="28" spans="1:10" ht="16.5">
      <c r="A28" s="27" t="s">
        <v>32</v>
      </c>
      <c r="B28" s="13"/>
      <c r="C28" s="13">
        <v>1</v>
      </c>
      <c r="D28" s="10"/>
      <c r="E28" s="11">
        <v>9</v>
      </c>
      <c r="F28" s="11">
        <v>176</v>
      </c>
      <c r="G28" s="11">
        <v>0</v>
      </c>
      <c r="H28" s="11">
        <v>0</v>
      </c>
      <c r="I28" s="12">
        <f t="shared" si="0"/>
        <v>185</v>
      </c>
      <c r="J28" s="11">
        <v>200</v>
      </c>
    </row>
    <row r="29" spans="1:10" ht="16.5">
      <c r="A29" s="27" t="s">
        <v>33</v>
      </c>
      <c r="B29" s="13"/>
      <c r="C29" s="13">
        <v>1</v>
      </c>
      <c r="D29" s="10"/>
      <c r="E29" s="11">
        <v>2</v>
      </c>
      <c r="F29" s="11">
        <v>87</v>
      </c>
      <c r="G29" s="11">
        <v>0</v>
      </c>
      <c r="H29" s="11">
        <v>0</v>
      </c>
      <c r="I29" s="12">
        <f t="shared" si="0"/>
        <v>89</v>
      </c>
      <c r="J29" s="11">
        <v>0</v>
      </c>
    </row>
    <row r="30" spans="1:10" ht="16.5">
      <c r="A30" s="26" t="s">
        <v>34</v>
      </c>
      <c r="B30">
        <v>1</v>
      </c>
      <c r="C30">
        <v>1</v>
      </c>
      <c r="D30" s="10">
        <v>187</v>
      </c>
      <c r="E30" s="11">
        <v>0</v>
      </c>
      <c r="F30" s="11">
        <v>0</v>
      </c>
      <c r="G30" s="11">
        <v>0</v>
      </c>
      <c r="H30" s="11">
        <v>0</v>
      </c>
      <c r="I30" s="12">
        <f t="shared" si="0"/>
        <v>0</v>
      </c>
      <c r="J30" s="11">
        <v>0</v>
      </c>
    </row>
    <row r="31" spans="1:10" ht="16.5">
      <c r="A31" s="9" t="s">
        <v>35</v>
      </c>
      <c r="C31">
        <v>1</v>
      </c>
      <c r="D31" s="10"/>
      <c r="E31" s="11">
        <v>0</v>
      </c>
      <c r="F31" s="11">
        <v>0</v>
      </c>
      <c r="G31" s="11">
        <v>0</v>
      </c>
      <c r="H31" s="11">
        <v>0</v>
      </c>
      <c r="I31" s="12">
        <f t="shared" si="0"/>
        <v>0</v>
      </c>
      <c r="J31" s="11">
        <v>0</v>
      </c>
    </row>
    <row r="32" spans="1:10" ht="16.5">
      <c r="A32" s="26" t="s">
        <v>36</v>
      </c>
      <c r="C32">
        <v>1</v>
      </c>
      <c r="D32" s="10"/>
      <c r="E32">
        <v>104</v>
      </c>
      <c r="F32">
        <v>138</v>
      </c>
      <c r="G32">
        <v>0</v>
      </c>
      <c r="H32" s="11">
        <v>34</v>
      </c>
      <c r="I32" s="12">
        <f t="shared" si="0"/>
        <v>276</v>
      </c>
      <c r="J32" s="11">
        <v>400</v>
      </c>
    </row>
    <row r="33" spans="1:10" ht="16.5">
      <c r="A33" s="26" t="s">
        <v>37</v>
      </c>
      <c r="C33">
        <v>1</v>
      </c>
      <c r="D33" s="10">
        <v>46</v>
      </c>
      <c r="E33" s="11">
        <v>10</v>
      </c>
      <c r="F33" s="11">
        <v>47</v>
      </c>
      <c r="G33" s="11">
        <v>14</v>
      </c>
      <c r="H33" s="11">
        <v>0</v>
      </c>
      <c r="I33" s="12">
        <f t="shared" si="0"/>
        <v>71</v>
      </c>
      <c r="J33" s="11">
        <v>200</v>
      </c>
    </row>
    <row r="34" spans="1:10" ht="16.5">
      <c r="A34" s="9" t="s">
        <v>38</v>
      </c>
      <c r="C34">
        <v>1</v>
      </c>
      <c r="D34" s="10"/>
      <c r="E34" s="11">
        <v>0</v>
      </c>
      <c r="F34" s="11">
        <v>0</v>
      </c>
      <c r="G34" s="11">
        <v>0</v>
      </c>
      <c r="H34" s="11">
        <v>0</v>
      </c>
      <c r="I34" s="12">
        <f t="shared" si="0"/>
        <v>0</v>
      </c>
      <c r="J34" s="11">
        <v>0</v>
      </c>
    </row>
    <row r="35" spans="1:10" ht="16.5">
      <c r="A35" s="26" t="s">
        <v>39</v>
      </c>
      <c r="C35">
        <v>1</v>
      </c>
      <c r="D35" s="10"/>
      <c r="E35" s="11">
        <v>32</v>
      </c>
      <c r="F35" s="11">
        <v>171</v>
      </c>
      <c r="G35" s="11">
        <v>0</v>
      </c>
      <c r="H35" s="11">
        <v>0</v>
      </c>
      <c r="I35" s="12">
        <f t="shared" si="0"/>
        <v>203</v>
      </c>
      <c r="J35" s="11">
        <v>200</v>
      </c>
    </row>
    <row r="36" spans="1:10" ht="16.5">
      <c r="A36" s="26" t="s">
        <v>40</v>
      </c>
      <c r="C36">
        <v>1</v>
      </c>
      <c r="D36" s="10">
        <v>106</v>
      </c>
      <c r="E36" s="11">
        <v>0</v>
      </c>
      <c r="F36" s="11">
        <v>0</v>
      </c>
      <c r="G36" s="11">
        <v>0</v>
      </c>
      <c r="H36" s="11">
        <v>0</v>
      </c>
      <c r="I36" s="12">
        <f t="shared" si="0"/>
        <v>0</v>
      </c>
      <c r="J36" s="11">
        <v>0</v>
      </c>
    </row>
    <row r="37" spans="1:11" ht="16.5">
      <c r="A37" s="4" t="s">
        <v>41</v>
      </c>
      <c r="B37" s="8">
        <v>5</v>
      </c>
      <c r="C37" s="8"/>
      <c r="D37" s="10"/>
      <c r="E37" s="15"/>
      <c r="F37" s="15"/>
      <c r="G37" s="15">
        <v>4119</v>
      </c>
      <c r="H37" s="15"/>
      <c r="I37" s="12">
        <f t="shared" si="0"/>
        <v>4119</v>
      </c>
      <c r="J37" s="15"/>
      <c r="K37">
        <v>4</v>
      </c>
    </row>
    <row r="38" spans="1:10" ht="16.5">
      <c r="A38" s="9" t="s">
        <v>42</v>
      </c>
      <c r="C38">
        <v>1</v>
      </c>
      <c r="D38" s="10"/>
      <c r="E38" s="11"/>
      <c r="F38" s="11"/>
      <c r="G38" s="11"/>
      <c r="H38" s="11"/>
      <c r="I38" s="12">
        <f t="shared" si="0"/>
        <v>0</v>
      </c>
      <c r="J38" s="11"/>
    </row>
    <row r="39" spans="1:10" ht="16.5">
      <c r="A39" s="26" t="s">
        <v>43</v>
      </c>
      <c r="B39">
        <v>1</v>
      </c>
      <c r="C39" s="13" t="s">
        <v>44</v>
      </c>
      <c r="D39" s="10">
        <v>14</v>
      </c>
      <c r="E39" s="11"/>
      <c r="F39" s="11"/>
      <c r="G39" s="11"/>
      <c r="H39" s="11"/>
      <c r="I39" s="12">
        <f t="shared" si="0"/>
        <v>0</v>
      </c>
      <c r="J39" s="11"/>
    </row>
    <row r="40" spans="1:10" ht="16.5">
      <c r="A40" s="9" t="s">
        <v>45</v>
      </c>
      <c r="B40">
        <v>1</v>
      </c>
      <c r="D40" s="10"/>
      <c r="E40" s="11"/>
      <c r="F40" s="11"/>
      <c r="G40" s="11"/>
      <c r="H40" s="11"/>
      <c r="I40" s="12">
        <f t="shared" si="0"/>
        <v>0</v>
      </c>
      <c r="J40" s="11"/>
    </row>
    <row r="41" spans="1:10" ht="16.5">
      <c r="A41" s="4" t="s">
        <v>46</v>
      </c>
      <c r="B41" s="8">
        <v>1</v>
      </c>
      <c r="C41" s="8"/>
      <c r="D41" s="10"/>
      <c r="E41" s="15"/>
      <c r="F41" s="15"/>
      <c r="G41" s="15"/>
      <c r="H41" s="15"/>
      <c r="I41" s="12">
        <f t="shared" si="0"/>
        <v>0</v>
      </c>
      <c r="J41" s="15"/>
    </row>
    <row r="42" spans="1:10" ht="16.5">
      <c r="A42" s="16" t="s">
        <v>47</v>
      </c>
      <c r="B42">
        <v>1</v>
      </c>
      <c r="D42" s="10"/>
      <c r="E42" s="11"/>
      <c r="F42" s="11"/>
      <c r="G42" s="11"/>
      <c r="H42" s="11"/>
      <c r="I42" s="12">
        <f t="shared" si="0"/>
        <v>0</v>
      </c>
      <c r="J42" s="11"/>
    </row>
    <row r="43" spans="1:10" ht="16.5">
      <c r="A43" s="9" t="s">
        <v>48</v>
      </c>
      <c r="B43">
        <v>1</v>
      </c>
      <c r="D43" s="10"/>
      <c r="E43" s="11"/>
      <c r="F43" s="11"/>
      <c r="G43" s="11"/>
      <c r="H43" s="11"/>
      <c r="I43" s="12">
        <f t="shared" si="0"/>
        <v>0</v>
      </c>
      <c r="J43" s="11"/>
    </row>
    <row r="44" spans="1:10" ht="16.5">
      <c r="A44" s="4" t="s">
        <v>49</v>
      </c>
      <c r="B44" s="8">
        <v>1</v>
      </c>
      <c r="C44" s="8"/>
      <c r="D44" s="10"/>
      <c r="E44" s="15"/>
      <c r="F44" s="15"/>
      <c r="G44" s="15"/>
      <c r="H44" s="15"/>
      <c r="I44" s="12">
        <f t="shared" si="0"/>
        <v>0</v>
      </c>
      <c r="J44" s="15"/>
    </row>
    <row r="45" spans="1:10" ht="16.5">
      <c r="A45" s="4" t="s">
        <v>50</v>
      </c>
      <c r="B45" s="8"/>
      <c r="C45" s="8">
        <v>1</v>
      </c>
      <c r="D45" s="10"/>
      <c r="E45" s="15"/>
      <c r="F45" s="15"/>
      <c r="G45" s="15"/>
      <c r="H45" s="15"/>
      <c r="I45" s="12">
        <f t="shared" si="0"/>
        <v>0</v>
      </c>
      <c r="J45" s="15"/>
    </row>
    <row r="46" spans="1:10" ht="16.5">
      <c r="A46" s="26" t="s">
        <v>51</v>
      </c>
      <c r="C46">
        <v>1</v>
      </c>
      <c r="D46" s="10">
        <v>12</v>
      </c>
      <c r="E46" s="11"/>
      <c r="F46" s="11"/>
      <c r="G46" s="11"/>
      <c r="H46" s="11"/>
      <c r="I46" s="12">
        <f t="shared" si="0"/>
        <v>0</v>
      </c>
      <c r="J46" s="11"/>
    </row>
    <row r="47" spans="1:10" ht="16.5">
      <c r="A47" s="4" t="s">
        <v>52</v>
      </c>
      <c r="B47" s="8"/>
      <c r="C47" s="8">
        <v>1</v>
      </c>
      <c r="D47" s="10"/>
      <c r="E47" s="15"/>
      <c r="F47" s="15"/>
      <c r="G47" s="15"/>
      <c r="H47" s="15"/>
      <c r="I47" s="12">
        <f t="shared" si="0"/>
        <v>0</v>
      </c>
      <c r="J47" s="15"/>
    </row>
    <row r="48" spans="1:10" ht="16.5">
      <c r="A48" s="9" t="s">
        <v>53</v>
      </c>
      <c r="C48">
        <v>1</v>
      </c>
      <c r="D48" s="10"/>
      <c r="E48" s="11"/>
      <c r="F48" s="11"/>
      <c r="G48" s="11"/>
      <c r="H48" s="11"/>
      <c r="I48" s="12">
        <f t="shared" si="0"/>
        <v>0</v>
      </c>
      <c r="J48" s="11"/>
    </row>
    <row r="49" spans="1:10" ht="16.5">
      <c r="A49" s="9" t="s">
        <v>54</v>
      </c>
      <c r="B49">
        <v>1</v>
      </c>
      <c r="C49">
        <v>1</v>
      </c>
      <c r="D49" s="10"/>
      <c r="E49" s="11"/>
      <c r="F49" s="11"/>
      <c r="I49" s="12">
        <f t="shared" si="0"/>
        <v>0</v>
      </c>
      <c r="J49" s="11"/>
    </row>
    <row r="50" spans="1:10" ht="16.5">
      <c r="A50" s="9" t="s">
        <v>55</v>
      </c>
      <c r="C50">
        <v>1</v>
      </c>
      <c r="D50" s="10"/>
      <c r="I50" s="12">
        <f t="shared" si="0"/>
        <v>0</v>
      </c>
      <c r="J50" s="11"/>
    </row>
    <row r="51" spans="1:10" ht="16.5">
      <c r="A51" s="9" t="s">
        <v>56</v>
      </c>
      <c r="C51">
        <v>1</v>
      </c>
      <c r="D51" s="10"/>
      <c r="I51" s="12">
        <f t="shared" si="0"/>
        <v>0</v>
      </c>
      <c r="J51" s="11"/>
    </row>
    <row r="52" spans="1:10" ht="16.5">
      <c r="A52" s="9" t="s">
        <v>57</v>
      </c>
      <c r="C52">
        <v>1</v>
      </c>
      <c r="D52" s="10"/>
      <c r="E52" s="11"/>
      <c r="F52" s="11"/>
      <c r="G52" s="11"/>
      <c r="H52" s="11"/>
      <c r="I52" s="12">
        <f t="shared" si="0"/>
        <v>0</v>
      </c>
      <c r="J52" s="11"/>
    </row>
    <row r="53" spans="1:10" ht="16.5">
      <c r="A53" s="4" t="s">
        <v>58</v>
      </c>
      <c r="B53" s="8"/>
      <c r="C53" s="8">
        <v>1</v>
      </c>
      <c r="D53" s="10"/>
      <c r="E53" s="15"/>
      <c r="F53" s="15"/>
      <c r="G53" s="15"/>
      <c r="H53" s="15"/>
      <c r="I53" s="12">
        <f t="shared" si="0"/>
        <v>0</v>
      </c>
      <c r="J53" s="15"/>
    </row>
    <row r="54" spans="1:10" ht="16.5">
      <c r="A54" s="4" t="s">
        <v>59</v>
      </c>
      <c r="B54" s="8"/>
      <c r="C54" s="8">
        <v>1</v>
      </c>
      <c r="D54" s="10"/>
      <c r="E54" s="15"/>
      <c r="F54" s="15"/>
      <c r="G54" s="15"/>
      <c r="H54" s="15"/>
      <c r="I54" s="12">
        <f t="shared" si="0"/>
        <v>0</v>
      </c>
      <c r="J54" s="15"/>
    </row>
    <row r="55" spans="1:10" ht="16.5">
      <c r="A55" s="16" t="s">
        <v>60</v>
      </c>
      <c r="B55">
        <v>1</v>
      </c>
      <c r="D55" s="10"/>
      <c r="E55" s="11"/>
      <c r="F55" s="11"/>
      <c r="G55" s="11"/>
      <c r="H55" s="11"/>
      <c r="I55" s="12">
        <f t="shared" si="0"/>
        <v>0</v>
      </c>
      <c r="J55" s="11"/>
    </row>
    <row r="56" spans="1:10" ht="16.5">
      <c r="A56" s="4" t="s">
        <v>61</v>
      </c>
      <c r="B56" s="8">
        <v>1</v>
      </c>
      <c r="C56" s="17" t="s">
        <v>44</v>
      </c>
      <c r="D56" s="10"/>
      <c r="E56" s="15"/>
      <c r="F56" s="15"/>
      <c r="G56" s="15"/>
      <c r="H56" s="15"/>
      <c r="I56" s="12">
        <f t="shared" si="0"/>
        <v>0</v>
      </c>
      <c r="J56" s="15"/>
    </row>
    <row r="57" spans="1:10" ht="16.5">
      <c r="A57" s="18" t="s">
        <v>62</v>
      </c>
      <c r="B57" s="19">
        <v>1</v>
      </c>
      <c r="C57" s="19"/>
      <c r="D57" s="10"/>
      <c r="E57" s="20"/>
      <c r="F57" s="20"/>
      <c r="G57" s="20"/>
      <c r="H57" s="20"/>
      <c r="I57" s="12">
        <f t="shared" si="0"/>
        <v>0</v>
      </c>
      <c r="J57" s="20"/>
    </row>
    <row r="58" spans="1:10" ht="16.5">
      <c r="A58" s="9" t="s">
        <v>63</v>
      </c>
      <c r="B58">
        <v>1</v>
      </c>
      <c r="D58" s="10"/>
      <c r="E58" s="11"/>
      <c r="F58" s="11"/>
      <c r="G58" s="11"/>
      <c r="H58" s="11"/>
      <c r="I58" s="12">
        <f t="shared" si="0"/>
        <v>0</v>
      </c>
      <c r="J58" s="11"/>
    </row>
    <row r="59" spans="1:10" ht="16.5">
      <c r="A59" s="9" t="s">
        <v>64</v>
      </c>
      <c r="B59">
        <v>1</v>
      </c>
      <c r="D59" s="10"/>
      <c r="E59" s="11"/>
      <c r="F59" s="11"/>
      <c r="G59" s="11"/>
      <c r="H59" s="11"/>
      <c r="I59" s="12">
        <f t="shared" si="0"/>
        <v>0</v>
      </c>
      <c r="J59" s="11"/>
    </row>
    <row r="60" spans="1:10" ht="16.5">
      <c r="A60" s="4" t="s">
        <v>65</v>
      </c>
      <c r="B60" s="8"/>
      <c r="C60" s="8">
        <v>1</v>
      </c>
      <c r="D60" s="10"/>
      <c r="E60" s="15"/>
      <c r="F60" s="15"/>
      <c r="G60" s="15"/>
      <c r="H60" s="15"/>
      <c r="I60" s="12">
        <f t="shared" si="0"/>
        <v>0</v>
      </c>
      <c r="J60" s="15"/>
    </row>
    <row r="61" spans="1:11" ht="16.5">
      <c r="A61" s="26" t="s">
        <v>66</v>
      </c>
      <c r="C61">
        <v>1</v>
      </c>
      <c r="D61" s="10">
        <v>1</v>
      </c>
      <c r="E61" s="11">
        <v>14</v>
      </c>
      <c r="F61" s="11">
        <f>46+1</f>
        <v>47</v>
      </c>
      <c r="G61" s="11">
        <f>70+17</f>
        <v>87</v>
      </c>
      <c r="H61" s="11">
        <v>3</v>
      </c>
      <c r="I61" s="12">
        <f t="shared" si="0"/>
        <v>151</v>
      </c>
      <c r="J61" s="11">
        <v>200</v>
      </c>
      <c r="K61">
        <v>66</v>
      </c>
    </row>
    <row r="62" spans="1:10" ht="16.5">
      <c r="A62" s="28" t="s">
        <v>67</v>
      </c>
      <c r="C62">
        <v>2</v>
      </c>
      <c r="D62" s="10">
        <v>61</v>
      </c>
      <c r="E62" s="11">
        <v>2</v>
      </c>
      <c r="F62" s="11">
        <v>134</v>
      </c>
      <c r="G62" s="11">
        <v>135</v>
      </c>
      <c r="H62" s="11">
        <v>2</v>
      </c>
      <c r="I62" s="12">
        <f t="shared" si="0"/>
        <v>273</v>
      </c>
      <c r="J62" s="11">
        <v>0</v>
      </c>
    </row>
    <row r="63" spans="1:10" ht="16.5">
      <c r="A63" s="21" t="s">
        <v>68</v>
      </c>
      <c r="C63">
        <v>1</v>
      </c>
      <c r="D63" s="10"/>
      <c r="E63" s="11">
        <v>19</v>
      </c>
      <c r="F63" s="11">
        <v>92</v>
      </c>
      <c r="G63" s="11">
        <v>34</v>
      </c>
      <c r="H63" s="11">
        <v>0</v>
      </c>
      <c r="I63" s="12">
        <f t="shared" si="0"/>
        <v>145</v>
      </c>
      <c r="J63" s="11">
        <v>0</v>
      </c>
    </row>
    <row r="64" spans="1:10" ht="16.5">
      <c r="A64" s="21" t="s">
        <v>69</v>
      </c>
      <c r="C64">
        <v>19</v>
      </c>
      <c r="D64" s="10">
        <v>57</v>
      </c>
      <c r="E64" s="11">
        <v>336</v>
      </c>
      <c r="F64" s="11">
        <v>235</v>
      </c>
      <c r="G64" s="11">
        <v>6</v>
      </c>
      <c r="H64" s="11">
        <v>296</v>
      </c>
      <c r="I64" s="12">
        <f t="shared" si="0"/>
        <v>873</v>
      </c>
      <c r="J64" s="11">
        <v>400</v>
      </c>
    </row>
    <row r="65" spans="1:10" ht="16.5">
      <c r="A65" s="21" t="s">
        <v>70</v>
      </c>
      <c r="C65">
        <v>1</v>
      </c>
      <c r="D65" s="10"/>
      <c r="E65" s="11"/>
      <c r="F65" s="11"/>
      <c r="G65" s="11"/>
      <c r="H65" s="11"/>
      <c r="I65" s="12">
        <f t="shared" si="0"/>
        <v>0</v>
      </c>
      <c r="J65" s="11"/>
    </row>
    <row r="66" spans="1:10" ht="16.5">
      <c r="A66" s="28" t="s">
        <v>71</v>
      </c>
      <c r="C66">
        <v>1</v>
      </c>
      <c r="D66" s="10">
        <v>32</v>
      </c>
      <c r="E66" s="11"/>
      <c r="F66" s="11"/>
      <c r="G66" s="11"/>
      <c r="H66" s="11"/>
      <c r="I66" s="12">
        <f t="shared" si="0"/>
        <v>0</v>
      </c>
      <c r="J66" s="11"/>
    </row>
    <row r="67" spans="1:10" ht="16.5">
      <c r="A67" s="21" t="s">
        <v>72</v>
      </c>
      <c r="C67">
        <v>1</v>
      </c>
      <c r="D67" s="10"/>
      <c r="E67" s="11">
        <v>18</v>
      </c>
      <c r="F67" s="11">
        <v>53</v>
      </c>
      <c r="G67" s="11">
        <v>4</v>
      </c>
      <c r="H67" s="11">
        <v>0</v>
      </c>
      <c r="I67" s="12">
        <f t="shared" si="0"/>
        <v>75</v>
      </c>
      <c r="J67" s="11">
        <v>400</v>
      </c>
    </row>
    <row r="68" spans="1:10" ht="16.5">
      <c r="A68" s="22" t="s">
        <v>107</v>
      </c>
      <c r="C68">
        <v>1</v>
      </c>
      <c r="D68" s="10">
        <v>2</v>
      </c>
      <c r="E68" s="11">
        <v>6</v>
      </c>
      <c r="F68" s="11">
        <v>83</v>
      </c>
      <c r="G68" s="11">
        <v>3</v>
      </c>
      <c r="H68" s="11">
        <v>0</v>
      </c>
      <c r="I68" s="12">
        <f t="shared" si="0"/>
        <v>92</v>
      </c>
      <c r="J68" s="11">
        <v>0</v>
      </c>
    </row>
    <row r="69" spans="1:10" ht="16.5">
      <c r="A69" s="28" t="s">
        <v>74</v>
      </c>
      <c r="C69">
        <v>1</v>
      </c>
      <c r="D69" s="10">
        <v>3</v>
      </c>
      <c r="E69" s="11">
        <v>2</v>
      </c>
      <c r="F69" s="11">
        <v>115</v>
      </c>
      <c r="G69" s="11">
        <v>0</v>
      </c>
      <c r="H69" s="11">
        <v>0</v>
      </c>
      <c r="I69" s="12">
        <f t="shared" si="0"/>
        <v>117</v>
      </c>
      <c r="J69" s="11">
        <v>200</v>
      </c>
    </row>
    <row r="70" spans="1:10" ht="16.5">
      <c r="A70" s="21" t="s">
        <v>75</v>
      </c>
      <c r="C70">
        <v>1</v>
      </c>
      <c r="D70" s="10">
        <v>2</v>
      </c>
      <c r="E70" s="11">
        <v>1</v>
      </c>
      <c r="F70" s="11">
        <v>21</v>
      </c>
      <c r="G70" s="11">
        <v>56</v>
      </c>
      <c r="H70" s="11">
        <v>0</v>
      </c>
      <c r="I70" s="12">
        <f aca="true" t="shared" si="1" ref="I70:I80">SUM(E70:H70)</f>
        <v>78</v>
      </c>
      <c r="J70" s="11">
        <v>0</v>
      </c>
    </row>
    <row r="71" spans="1:10" ht="16.5">
      <c r="A71" s="28" t="s">
        <v>76</v>
      </c>
      <c r="D71" s="10">
        <v>77</v>
      </c>
      <c r="E71" s="11">
        <v>0</v>
      </c>
      <c r="F71" s="11">
        <v>27</v>
      </c>
      <c r="G71" s="11">
        <f>50+30</f>
        <v>80</v>
      </c>
      <c r="H71" s="11">
        <v>0</v>
      </c>
      <c r="I71" s="12">
        <f t="shared" si="1"/>
        <v>107</v>
      </c>
      <c r="J71" s="11">
        <v>0</v>
      </c>
    </row>
    <row r="72" spans="1:10" ht="16.5">
      <c r="A72" s="28" t="s">
        <v>77</v>
      </c>
      <c r="C72">
        <v>1</v>
      </c>
      <c r="D72" s="10"/>
      <c r="E72" s="11">
        <v>0</v>
      </c>
      <c r="F72" s="11">
        <v>49</v>
      </c>
      <c r="G72" s="11">
        <v>55</v>
      </c>
      <c r="H72" s="11">
        <v>1</v>
      </c>
      <c r="I72" s="12">
        <f t="shared" si="1"/>
        <v>105</v>
      </c>
      <c r="J72" s="11">
        <v>200</v>
      </c>
    </row>
    <row r="73" spans="1:10" ht="16.5">
      <c r="A73" s="28" t="s">
        <v>78</v>
      </c>
      <c r="C73">
        <v>1</v>
      </c>
      <c r="D73" s="10"/>
      <c r="E73" s="11">
        <v>21</v>
      </c>
      <c r="F73" s="11">
        <v>50</v>
      </c>
      <c r="G73" s="11">
        <v>62</v>
      </c>
      <c r="H73" s="11">
        <v>55</v>
      </c>
      <c r="I73" s="12">
        <f t="shared" si="1"/>
        <v>188</v>
      </c>
      <c r="J73" s="11">
        <v>0</v>
      </c>
    </row>
    <row r="74" spans="1:10" ht="16.5">
      <c r="A74" s="28" t="s">
        <v>79</v>
      </c>
      <c r="C74">
        <v>1</v>
      </c>
      <c r="D74" s="10"/>
      <c r="E74" s="11">
        <v>18</v>
      </c>
      <c r="F74" s="11">
        <v>104</v>
      </c>
      <c r="G74" s="11">
        <v>0</v>
      </c>
      <c r="H74" s="11">
        <v>3</v>
      </c>
      <c r="I74" s="12">
        <f t="shared" si="1"/>
        <v>125</v>
      </c>
      <c r="J74" s="11">
        <v>0</v>
      </c>
    </row>
    <row r="75" spans="1:10" ht="16.5">
      <c r="A75" s="21" t="s">
        <v>80</v>
      </c>
      <c r="B75">
        <v>1</v>
      </c>
      <c r="D75" s="10"/>
      <c r="E75" s="11">
        <v>0</v>
      </c>
      <c r="F75" s="11">
        <v>0</v>
      </c>
      <c r="G75" s="11">
        <v>0</v>
      </c>
      <c r="H75" s="11">
        <v>0</v>
      </c>
      <c r="I75" s="12">
        <f t="shared" si="1"/>
        <v>0</v>
      </c>
      <c r="J75" s="11">
        <v>0</v>
      </c>
    </row>
    <row r="76" spans="1:10" ht="16.5">
      <c r="A76" s="28" t="s">
        <v>81</v>
      </c>
      <c r="C76">
        <v>1</v>
      </c>
      <c r="D76" s="10">
        <v>61</v>
      </c>
      <c r="E76" s="11">
        <v>3</v>
      </c>
      <c r="F76" s="11">
        <v>136</v>
      </c>
      <c r="G76" s="11">
        <v>180</v>
      </c>
      <c r="H76" s="11">
        <v>2</v>
      </c>
      <c r="I76" s="12">
        <f t="shared" si="1"/>
        <v>321</v>
      </c>
      <c r="J76" s="11">
        <v>0</v>
      </c>
    </row>
    <row r="77" spans="1:10" ht="16.5">
      <c r="A77" s="21" t="s">
        <v>115</v>
      </c>
      <c r="D77" s="10"/>
      <c r="E77" s="11">
        <f>3+1</f>
        <v>4</v>
      </c>
      <c r="F77" s="11">
        <f>32+2</f>
        <v>34</v>
      </c>
      <c r="G77" s="11">
        <v>37</v>
      </c>
      <c r="H77" s="11">
        <v>1</v>
      </c>
      <c r="I77" s="12">
        <f t="shared" si="1"/>
        <v>76</v>
      </c>
      <c r="J77" s="11">
        <v>0</v>
      </c>
    </row>
    <row r="78" spans="1:10" ht="16.5">
      <c r="A78" s="21" t="s">
        <v>116</v>
      </c>
      <c r="D78" s="10"/>
      <c r="E78" s="11">
        <v>0</v>
      </c>
      <c r="F78" s="11">
        <v>33</v>
      </c>
      <c r="G78" s="11">
        <f>59+84</f>
        <v>143</v>
      </c>
      <c r="H78" s="11">
        <v>0</v>
      </c>
      <c r="I78" s="12">
        <f t="shared" si="1"/>
        <v>176</v>
      </c>
      <c r="J78" s="11">
        <v>0</v>
      </c>
    </row>
    <row r="79" spans="1:10" ht="16.5">
      <c r="A79" s="21" t="s">
        <v>108</v>
      </c>
      <c r="C79">
        <v>10</v>
      </c>
      <c r="D79" s="10">
        <v>1147</v>
      </c>
      <c r="E79" s="11">
        <f>62+2+1</f>
        <v>65</v>
      </c>
      <c r="F79" s="11">
        <f>2500+494+24-3</f>
        <v>3015</v>
      </c>
      <c r="G79" s="11">
        <f>3000+409+7+2</f>
        <v>3418</v>
      </c>
      <c r="H79" s="11">
        <v>17</v>
      </c>
      <c r="I79" s="12">
        <f t="shared" si="1"/>
        <v>6515</v>
      </c>
      <c r="J79" s="36">
        <v>2600</v>
      </c>
    </row>
    <row r="80" spans="1:11" ht="16.5">
      <c r="A80" s="21" t="s">
        <v>111</v>
      </c>
      <c r="C80">
        <v>300</v>
      </c>
      <c r="D80" s="10">
        <v>2637</v>
      </c>
      <c r="E80" s="11">
        <f>1779+74+208</f>
        <v>2061</v>
      </c>
      <c r="F80" s="11">
        <f>21028+11489</f>
        <v>32517</v>
      </c>
      <c r="G80" s="11">
        <v>6612</v>
      </c>
      <c r="H80" s="11">
        <f>1832+6+174</f>
        <v>2012</v>
      </c>
      <c r="I80" s="12">
        <f t="shared" si="1"/>
        <v>43202</v>
      </c>
      <c r="J80" s="11">
        <f>22000+13000+200</f>
        <v>35200</v>
      </c>
      <c r="K80">
        <f>28+7+5+6</f>
        <v>46</v>
      </c>
    </row>
    <row r="81" spans="1:10" ht="16.5">
      <c r="A81" s="21" t="s">
        <v>117</v>
      </c>
      <c r="D81" s="10"/>
      <c r="E81" s="11">
        <v>0</v>
      </c>
      <c r="F81" s="11">
        <v>240</v>
      </c>
      <c r="G81" s="11">
        <v>2</v>
      </c>
      <c r="H81" s="11"/>
      <c r="I81" s="12">
        <f>SUM(E81:H81)</f>
        <v>242</v>
      </c>
      <c r="J81" s="11">
        <v>400</v>
      </c>
    </row>
    <row r="82" spans="1:12" ht="16.5">
      <c r="A82" s="23" t="s">
        <v>82</v>
      </c>
      <c r="B82" s="24">
        <f aca="true" t="shared" si="2" ref="B82:I82">SUM(B3:B81)</f>
        <v>51</v>
      </c>
      <c r="C82" s="24">
        <f t="shared" si="2"/>
        <v>372</v>
      </c>
      <c r="D82" s="24">
        <f t="shared" si="2"/>
        <v>5388</v>
      </c>
      <c r="E82" s="24">
        <f t="shared" si="2"/>
        <v>3776</v>
      </c>
      <c r="F82" s="24">
        <f t="shared" si="2"/>
        <v>44294</v>
      </c>
      <c r="G82" s="24">
        <f t="shared" si="2"/>
        <v>17888</v>
      </c>
      <c r="H82" s="24">
        <f t="shared" si="2"/>
        <v>2691</v>
      </c>
      <c r="I82" s="24">
        <f t="shared" si="2"/>
        <v>68649</v>
      </c>
      <c r="J82" s="24">
        <f>SUM(J3:J81)</f>
        <v>56400</v>
      </c>
      <c r="K82" s="24">
        <f>SUM(K3:K81)</f>
        <v>116</v>
      </c>
      <c r="L82" t="s">
        <v>122</v>
      </c>
    </row>
    <row r="83" spans="1:11" ht="16.5">
      <c r="A83" s="9"/>
      <c r="D83" s="14"/>
      <c r="I83" s="25"/>
      <c r="J83">
        <v>39600</v>
      </c>
      <c r="K83" s="35">
        <v>39326</v>
      </c>
    </row>
    <row r="84" spans="1:11" ht="16.5">
      <c r="A84" s="9" t="s">
        <v>83</v>
      </c>
      <c r="C84">
        <v>2</v>
      </c>
      <c r="I84" s="25"/>
      <c r="J84">
        <v>200</v>
      </c>
      <c r="K84" s="35">
        <v>39329</v>
      </c>
    </row>
    <row r="85" spans="1:11" ht="16.5">
      <c r="A85" s="9"/>
      <c r="I85" s="25"/>
      <c r="J85">
        <v>16600</v>
      </c>
      <c r="K85" s="37" t="s">
        <v>123</v>
      </c>
    </row>
    <row r="86" spans="9:10" ht="16.5">
      <c r="I86" s="34" t="s">
        <v>109</v>
      </c>
      <c r="J86" s="32">
        <f>SUM(J82)/(I82-G82-H82)</f>
        <v>1.1732889536093198</v>
      </c>
    </row>
    <row r="87" spans="10:11" ht="16.5">
      <c r="J87">
        <v>2400</v>
      </c>
      <c r="K87" t="s">
        <v>118</v>
      </c>
    </row>
  </sheetData>
  <mergeCells count="5">
    <mergeCell ref="K1:K2"/>
    <mergeCell ref="A1:A2"/>
    <mergeCell ref="B1:C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pane xSplit="3" ySplit="2" topLeftCell="G7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4" sqref="H14"/>
    </sheetView>
  </sheetViews>
  <sheetFormatPr defaultColWidth="9.00390625" defaultRowHeight="16.5"/>
  <cols>
    <col min="1" max="1" width="31.375" style="0" customWidth="1"/>
    <col min="2" max="2" width="4.375" style="0" customWidth="1"/>
    <col min="3" max="3" width="5.375" style="0" customWidth="1"/>
    <col min="4" max="4" width="9.125" style="0" customWidth="1"/>
    <col min="10" max="10" width="10.375" style="0" bestFit="1" customWidth="1"/>
  </cols>
  <sheetData>
    <row r="1" spans="1:11" ht="16.5">
      <c r="A1" s="43" t="s">
        <v>0</v>
      </c>
      <c r="B1" s="44" t="s">
        <v>1</v>
      </c>
      <c r="C1" s="44"/>
      <c r="D1" s="3" t="s">
        <v>3</v>
      </c>
      <c r="E1" s="2" t="s">
        <v>3</v>
      </c>
      <c r="F1" s="2" t="s">
        <v>4</v>
      </c>
      <c r="G1" s="2" t="s">
        <v>4</v>
      </c>
      <c r="H1" s="3" t="s">
        <v>5</v>
      </c>
      <c r="I1" s="43" t="s">
        <v>6</v>
      </c>
      <c r="J1" s="43" t="s">
        <v>7</v>
      </c>
      <c r="K1" s="45" t="s">
        <v>112</v>
      </c>
    </row>
    <row r="2" spans="1:11" ht="16.5">
      <c r="A2" s="43"/>
      <c r="B2" s="5" t="s">
        <v>8</v>
      </c>
      <c r="C2" s="5" t="s">
        <v>9</v>
      </c>
      <c r="D2" s="6" t="s">
        <v>119</v>
      </c>
      <c r="E2" s="7" t="s">
        <v>106</v>
      </c>
      <c r="F2" s="7" t="s">
        <v>114</v>
      </c>
      <c r="G2" s="7" t="s">
        <v>120</v>
      </c>
      <c r="H2" s="3" t="s">
        <v>11</v>
      </c>
      <c r="I2" s="43"/>
      <c r="J2" s="43"/>
      <c r="K2" s="45"/>
    </row>
    <row r="3" spans="1:10" ht="16.5">
      <c r="A3" s="26" t="s">
        <v>12</v>
      </c>
      <c r="B3">
        <v>1</v>
      </c>
      <c r="D3" s="10">
        <v>204</v>
      </c>
      <c r="F3">
        <v>20</v>
      </c>
      <c r="G3">
        <v>98</v>
      </c>
      <c r="I3" s="12">
        <f>SUM(E3:H3)</f>
        <v>118</v>
      </c>
      <c r="J3">
        <v>600</v>
      </c>
    </row>
    <row r="4" spans="1:9" ht="16.5">
      <c r="A4" s="26" t="s">
        <v>13</v>
      </c>
      <c r="B4">
        <v>1</v>
      </c>
      <c r="D4" s="10">
        <v>134</v>
      </c>
      <c r="F4">
        <v>6</v>
      </c>
      <c r="G4">
        <v>86</v>
      </c>
      <c r="H4">
        <v>1</v>
      </c>
      <c r="I4" s="12">
        <f aca="true" t="shared" si="0" ref="I4:I70">SUM(E4:H4)</f>
        <v>93</v>
      </c>
    </row>
    <row r="5" spans="1:10" ht="16.5">
      <c r="A5" s="26" t="s">
        <v>14</v>
      </c>
      <c r="B5">
        <v>1</v>
      </c>
      <c r="D5" s="10">
        <v>363</v>
      </c>
      <c r="F5">
        <v>10</v>
      </c>
      <c r="G5">
        <v>135</v>
      </c>
      <c r="I5" s="12">
        <f t="shared" si="0"/>
        <v>145</v>
      </c>
      <c r="J5">
        <v>800</v>
      </c>
    </row>
    <row r="6" spans="1:10" ht="16.5">
      <c r="A6" s="26" t="s">
        <v>15</v>
      </c>
      <c r="B6">
        <v>1</v>
      </c>
      <c r="D6" s="10">
        <v>369</v>
      </c>
      <c r="G6">
        <v>3</v>
      </c>
      <c r="I6" s="12">
        <f t="shared" si="0"/>
        <v>3</v>
      </c>
      <c r="J6">
        <v>200</v>
      </c>
    </row>
    <row r="7" spans="1:10" ht="16.5">
      <c r="A7" s="26" t="s">
        <v>16</v>
      </c>
      <c r="B7">
        <v>1</v>
      </c>
      <c r="C7">
        <v>2</v>
      </c>
      <c r="D7" s="10">
        <v>455</v>
      </c>
      <c r="G7">
        <v>10</v>
      </c>
      <c r="I7" s="12">
        <f t="shared" si="0"/>
        <v>10</v>
      </c>
      <c r="J7">
        <v>600</v>
      </c>
    </row>
    <row r="8" spans="1:10" ht="16.5">
      <c r="A8" s="26" t="s">
        <v>121</v>
      </c>
      <c r="D8" s="10">
        <v>135</v>
      </c>
      <c r="E8">
        <v>1</v>
      </c>
      <c r="F8">
        <v>36</v>
      </c>
      <c r="G8">
        <v>175</v>
      </c>
      <c r="I8" s="12">
        <f t="shared" si="0"/>
        <v>212</v>
      </c>
      <c r="J8">
        <v>400</v>
      </c>
    </row>
    <row r="9" spans="1:9" ht="16.5">
      <c r="A9" s="9" t="s">
        <v>17</v>
      </c>
      <c r="B9">
        <v>1</v>
      </c>
      <c r="C9">
        <v>1</v>
      </c>
      <c r="D9" s="10">
        <v>293</v>
      </c>
      <c r="I9" s="12">
        <f t="shared" si="0"/>
        <v>0</v>
      </c>
    </row>
    <row r="10" spans="1:10" ht="16.5">
      <c r="A10" s="9" t="s">
        <v>18</v>
      </c>
      <c r="B10">
        <v>1</v>
      </c>
      <c r="D10" s="10">
        <v>98</v>
      </c>
      <c r="I10" s="12">
        <f t="shared" si="0"/>
        <v>0</v>
      </c>
      <c r="J10">
        <v>200</v>
      </c>
    </row>
    <row r="11" spans="1:9" ht="16.5">
      <c r="A11" s="9" t="s">
        <v>19</v>
      </c>
      <c r="B11">
        <v>1</v>
      </c>
      <c r="D11" s="10">
        <v>78</v>
      </c>
      <c r="I11" s="12">
        <f t="shared" si="0"/>
        <v>0</v>
      </c>
    </row>
    <row r="12" spans="1:9" ht="16.5">
      <c r="A12" s="9" t="s">
        <v>20</v>
      </c>
      <c r="C12">
        <v>1</v>
      </c>
      <c r="D12" s="10">
        <v>0</v>
      </c>
      <c r="I12" s="12">
        <f t="shared" si="0"/>
        <v>0</v>
      </c>
    </row>
    <row r="13" spans="1:10" ht="16.5">
      <c r="A13" s="26" t="s">
        <v>21</v>
      </c>
      <c r="B13">
        <v>1</v>
      </c>
      <c r="D13" s="10">
        <v>9</v>
      </c>
      <c r="E13">
        <v>3</v>
      </c>
      <c r="F13">
        <v>298</v>
      </c>
      <c r="I13" s="12">
        <f t="shared" si="0"/>
        <v>301</v>
      </c>
      <c r="J13">
        <v>200</v>
      </c>
    </row>
    <row r="14" spans="1:9" ht="16.5">
      <c r="A14" s="26" t="s">
        <v>22</v>
      </c>
      <c r="C14">
        <v>1</v>
      </c>
      <c r="D14" s="10">
        <v>0</v>
      </c>
      <c r="E14">
        <v>3</v>
      </c>
      <c r="F14">
        <v>172</v>
      </c>
      <c r="I14" s="12">
        <f t="shared" si="0"/>
        <v>175</v>
      </c>
    </row>
    <row r="15" spans="1:10" ht="16.5">
      <c r="A15" s="26" t="s">
        <v>23</v>
      </c>
      <c r="B15">
        <v>1</v>
      </c>
      <c r="D15" s="10">
        <v>99</v>
      </c>
      <c r="E15">
        <v>3</v>
      </c>
      <c r="F15">
        <f>64+144</f>
        <v>208</v>
      </c>
      <c r="G15">
        <v>46</v>
      </c>
      <c r="I15" s="12">
        <f t="shared" si="0"/>
        <v>257</v>
      </c>
      <c r="J15">
        <v>200</v>
      </c>
    </row>
    <row r="16" spans="1:9" ht="16.5">
      <c r="A16" s="26" t="s">
        <v>100</v>
      </c>
      <c r="B16">
        <v>2</v>
      </c>
      <c r="D16" s="10">
        <v>0</v>
      </c>
      <c r="I16" s="12">
        <f t="shared" si="0"/>
        <v>0</v>
      </c>
    </row>
    <row r="17" spans="1:9" ht="16.5">
      <c r="A17" s="9" t="s">
        <v>102</v>
      </c>
      <c r="B17">
        <v>4</v>
      </c>
      <c r="D17" s="10">
        <v>0</v>
      </c>
      <c r="I17" s="12">
        <f t="shared" si="0"/>
        <v>0</v>
      </c>
    </row>
    <row r="18" spans="1:9" ht="16.5">
      <c r="A18" s="26" t="s">
        <v>94</v>
      </c>
      <c r="B18">
        <v>2</v>
      </c>
      <c r="D18" s="10"/>
      <c r="I18" s="12">
        <f t="shared" si="0"/>
        <v>0</v>
      </c>
    </row>
    <row r="19" spans="1:10" ht="16.5">
      <c r="A19" s="26" t="s">
        <v>97</v>
      </c>
      <c r="B19">
        <v>2</v>
      </c>
      <c r="D19" s="10">
        <v>1</v>
      </c>
      <c r="E19">
        <v>24</v>
      </c>
      <c r="F19">
        <v>980</v>
      </c>
      <c r="I19" s="12">
        <f t="shared" si="0"/>
        <v>1004</v>
      </c>
      <c r="J19">
        <v>200</v>
      </c>
    </row>
    <row r="20" spans="1:10" ht="16.5">
      <c r="A20" s="9" t="s">
        <v>98</v>
      </c>
      <c r="B20">
        <v>2</v>
      </c>
      <c r="D20" s="10">
        <v>0</v>
      </c>
      <c r="F20">
        <f>63+271+234</f>
        <v>568</v>
      </c>
      <c r="I20" s="12">
        <f t="shared" si="0"/>
        <v>568</v>
      </c>
      <c r="J20">
        <v>200</v>
      </c>
    </row>
    <row r="21" spans="1:9" ht="16.5">
      <c r="A21" s="26" t="s">
        <v>99</v>
      </c>
      <c r="B21">
        <v>2</v>
      </c>
      <c r="D21" s="10">
        <v>0</v>
      </c>
      <c r="I21" s="12">
        <f t="shared" si="0"/>
        <v>0</v>
      </c>
    </row>
    <row r="22" spans="1:10" ht="16.5">
      <c r="A22" s="26" t="s">
        <v>95</v>
      </c>
      <c r="B22">
        <v>2</v>
      </c>
      <c r="D22" s="10">
        <v>347</v>
      </c>
      <c r="E22">
        <v>299</v>
      </c>
      <c r="F22">
        <v>1433</v>
      </c>
      <c r="G22">
        <v>250</v>
      </c>
      <c r="H22">
        <v>1</v>
      </c>
      <c r="I22" s="12">
        <f t="shared" si="0"/>
        <v>1983</v>
      </c>
      <c r="J22" s="19">
        <v>1200</v>
      </c>
    </row>
    <row r="23" spans="1:10" ht="16.5">
      <c r="A23" s="26" t="s">
        <v>96</v>
      </c>
      <c r="B23">
        <v>2</v>
      </c>
      <c r="D23" s="10">
        <v>0</v>
      </c>
      <c r="F23">
        <v>247</v>
      </c>
      <c r="I23" s="12">
        <f t="shared" si="0"/>
        <v>247</v>
      </c>
      <c r="J23">
        <v>200</v>
      </c>
    </row>
    <row r="24" spans="1:10" ht="16.5">
      <c r="A24" s="26" t="s">
        <v>101</v>
      </c>
      <c r="B24">
        <v>2</v>
      </c>
      <c r="D24" s="10">
        <v>256</v>
      </c>
      <c r="I24" s="12">
        <f t="shared" si="0"/>
        <v>0</v>
      </c>
      <c r="J24">
        <v>400</v>
      </c>
    </row>
    <row r="25" spans="1:9" ht="16.5">
      <c r="A25" s="26" t="s">
        <v>103</v>
      </c>
      <c r="B25">
        <v>2</v>
      </c>
      <c r="D25" s="10">
        <v>0</v>
      </c>
      <c r="I25" s="12">
        <f t="shared" si="0"/>
        <v>0</v>
      </c>
    </row>
    <row r="26" spans="1:9" ht="16.5">
      <c r="A26" s="30" t="s">
        <v>30</v>
      </c>
      <c r="B26" s="17"/>
      <c r="C26" s="17">
        <v>1</v>
      </c>
      <c r="D26" s="10"/>
      <c r="I26" s="12">
        <f t="shared" si="0"/>
        <v>0</v>
      </c>
    </row>
    <row r="27" spans="1:9" ht="16.5">
      <c r="A27" s="30" t="s">
        <v>31</v>
      </c>
      <c r="B27" s="17"/>
      <c r="C27" s="17">
        <v>1</v>
      </c>
      <c r="D27" s="10"/>
      <c r="I27" s="12">
        <f t="shared" si="0"/>
        <v>0</v>
      </c>
    </row>
    <row r="28" spans="1:9" ht="16.5">
      <c r="A28" s="27" t="s">
        <v>32</v>
      </c>
      <c r="B28" s="13"/>
      <c r="C28" s="13">
        <v>1</v>
      </c>
      <c r="D28" s="10">
        <v>0</v>
      </c>
      <c r="F28">
        <v>95</v>
      </c>
      <c r="I28" s="12">
        <f t="shared" si="0"/>
        <v>95</v>
      </c>
    </row>
    <row r="29" spans="1:9" ht="16.5">
      <c r="A29" s="27" t="s">
        <v>33</v>
      </c>
      <c r="B29" s="13"/>
      <c r="C29" s="13">
        <v>1</v>
      </c>
      <c r="D29" s="10">
        <v>0</v>
      </c>
      <c r="E29">
        <v>1</v>
      </c>
      <c r="F29">
        <v>93</v>
      </c>
      <c r="I29" s="12">
        <f t="shared" si="0"/>
        <v>94</v>
      </c>
    </row>
    <row r="30" spans="1:9" ht="16.5">
      <c r="A30" s="26" t="s">
        <v>34</v>
      </c>
      <c r="B30">
        <v>1</v>
      </c>
      <c r="C30">
        <v>1</v>
      </c>
      <c r="D30" s="10">
        <v>0</v>
      </c>
      <c r="I30" s="12">
        <f t="shared" si="0"/>
        <v>0</v>
      </c>
    </row>
    <row r="31" spans="1:9" ht="16.5">
      <c r="A31" s="9" t="s">
        <v>35</v>
      </c>
      <c r="C31">
        <v>1</v>
      </c>
      <c r="D31" s="10">
        <v>0</v>
      </c>
      <c r="I31" s="12">
        <f t="shared" si="0"/>
        <v>0</v>
      </c>
    </row>
    <row r="32" spans="1:9" ht="16.5">
      <c r="A32" s="26" t="s">
        <v>36</v>
      </c>
      <c r="C32">
        <v>1</v>
      </c>
      <c r="D32" s="10">
        <v>0</v>
      </c>
      <c r="I32" s="12">
        <f t="shared" si="0"/>
        <v>0</v>
      </c>
    </row>
    <row r="33" spans="1:9" ht="16.5">
      <c r="A33" s="26" t="s">
        <v>37</v>
      </c>
      <c r="C33">
        <v>1</v>
      </c>
      <c r="D33" s="10">
        <v>14</v>
      </c>
      <c r="E33">
        <v>15</v>
      </c>
      <c r="F33">
        <v>79</v>
      </c>
      <c r="G33">
        <v>3</v>
      </c>
      <c r="H33">
        <v>44</v>
      </c>
      <c r="I33" s="12">
        <f t="shared" si="0"/>
        <v>141</v>
      </c>
    </row>
    <row r="34" spans="1:9" ht="16.5">
      <c r="A34" s="9" t="s">
        <v>38</v>
      </c>
      <c r="C34">
        <v>1</v>
      </c>
      <c r="D34" s="10">
        <v>0</v>
      </c>
      <c r="I34" s="12">
        <f t="shared" si="0"/>
        <v>0</v>
      </c>
    </row>
    <row r="35" spans="1:10" ht="16.5">
      <c r="A35" s="26" t="s">
        <v>39</v>
      </c>
      <c r="C35">
        <v>1</v>
      </c>
      <c r="D35" s="10">
        <v>0</v>
      </c>
      <c r="E35">
        <v>13</v>
      </c>
      <c r="F35">
        <v>248</v>
      </c>
      <c r="I35" s="12">
        <f t="shared" si="0"/>
        <v>261</v>
      </c>
      <c r="J35">
        <v>200</v>
      </c>
    </row>
    <row r="36" spans="1:10" ht="16.5">
      <c r="A36" s="26" t="s">
        <v>40</v>
      </c>
      <c r="C36">
        <v>1</v>
      </c>
      <c r="D36" s="10">
        <v>0</v>
      </c>
      <c r="E36">
        <v>84</v>
      </c>
      <c r="F36">
        <v>175</v>
      </c>
      <c r="G36">
        <v>53</v>
      </c>
      <c r="H36">
        <v>5</v>
      </c>
      <c r="I36" s="12">
        <f t="shared" si="0"/>
        <v>317</v>
      </c>
      <c r="J36">
        <v>200</v>
      </c>
    </row>
    <row r="37" spans="1:10" ht="16.5">
      <c r="A37" s="4" t="s">
        <v>41</v>
      </c>
      <c r="B37" s="8">
        <v>5</v>
      </c>
      <c r="C37" s="8"/>
      <c r="D37" s="10">
        <v>4119</v>
      </c>
      <c r="F37">
        <v>604</v>
      </c>
      <c r="G37">
        <v>957</v>
      </c>
      <c r="I37" s="12">
        <f t="shared" si="0"/>
        <v>1561</v>
      </c>
      <c r="J37">
        <v>2600</v>
      </c>
    </row>
    <row r="38" spans="1:9" ht="16.5">
      <c r="A38" s="9" t="s">
        <v>42</v>
      </c>
      <c r="C38">
        <v>1</v>
      </c>
      <c r="D38" s="10"/>
      <c r="I38" s="12">
        <f t="shared" si="0"/>
        <v>0</v>
      </c>
    </row>
    <row r="39" spans="1:9" ht="16.5">
      <c r="A39" s="26" t="s">
        <v>43</v>
      </c>
      <c r="B39">
        <v>1</v>
      </c>
      <c r="C39" s="13" t="s">
        <v>44</v>
      </c>
      <c r="D39" s="10"/>
      <c r="I39" s="12">
        <f t="shared" si="0"/>
        <v>0</v>
      </c>
    </row>
    <row r="40" spans="1:9" ht="16.5">
      <c r="A40" s="9" t="s">
        <v>45</v>
      </c>
      <c r="B40">
        <v>1</v>
      </c>
      <c r="D40" s="10"/>
      <c r="I40" s="12">
        <f t="shared" si="0"/>
        <v>0</v>
      </c>
    </row>
    <row r="41" spans="1:9" ht="16.5">
      <c r="A41" s="4" t="s">
        <v>46</v>
      </c>
      <c r="B41" s="8">
        <v>1</v>
      </c>
      <c r="C41" s="8"/>
      <c r="D41" s="10"/>
      <c r="I41" s="12">
        <f t="shared" si="0"/>
        <v>0</v>
      </c>
    </row>
    <row r="42" spans="1:9" ht="16.5">
      <c r="A42" s="16" t="s">
        <v>47</v>
      </c>
      <c r="B42">
        <v>1</v>
      </c>
      <c r="D42" s="10"/>
      <c r="I42" s="12">
        <f t="shared" si="0"/>
        <v>0</v>
      </c>
    </row>
    <row r="43" spans="1:9" ht="16.5">
      <c r="A43" s="9" t="s">
        <v>48</v>
      </c>
      <c r="B43">
        <v>1</v>
      </c>
      <c r="D43" s="10"/>
      <c r="I43" s="12">
        <f t="shared" si="0"/>
        <v>0</v>
      </c>
    </row>
    <row r="44" spans="1:9" ht="16.5">
      <c r="A44" s="4" t="s">
        <v>49</v>
      </c>
      <c r="B44" s="8">
        <v>1</v>
      </c>
      <c r="C44" s="8"/>
      <c r="D44" s="10"/>
      <c r="I44" s="12">
        <f t="shared" si="0"/>
        <v>0</v>
      </c>
    </row>
    <row r="45" spans="1:9" ht="16.5">
      <c r="A45" s="4" t="s">
        <v>50</v>
      </c>
      <c r="B45" s="8"/>
      <c r="C45" s="8">
        <v>1</v>
      </c>
      <c r="D45" s="10"/>
      <c r="I45" s="12">
        <f t="shared" si="0"/>
        <v>0</v>
      </c>
    </row>
    <row r="46" spans="1:9" ht="16.5">
      <c r="A46" s="26" t="s">
        <v>51</v>
      </c>
      <c r="C46">
        <v>1</v>
      </c>
      <c r="D46" s="10"/>
      <c r="I46" s="12">
        <f t="shared" si="0"/>
        <v>0</v>
      </c>
    </row>
    <row r="47" spans="1:9" ht="16.5">
      <c r="A47" s="4" t="s">
        <v>52</v>
      </c>
      <c r="B47" s="8"/>
      <c r="C47" s="8">
        <v>1</v>
      </c>
      <c r="D47" s="10"/>
      <c r="I47" s="12">
        <f t="shared" si="0"/>
        <v>0</v>
      </c>
    </row>
    <row r="48" spans="1:9" ht="16.5">
      <c r="A48" s="9" t="s">
        <v>53</v>
      </c>
      <c r="C48">
        <v>1</v>
      </c>
      <c r="D48" s="10"/>
      <c r="I48" s="12">
        <f t="shared" si="0"/>
        <v>0</v>
      </c>
    </row>
    <row r="49" spans="1:9" ht="16.5">
      <c r="A49" s="9" t="s">
        <v>54</v>
      </c>
      <c r="B49">
        <v>1</v>
      </c>
      <c r="C49">
        <v>1</v>
      </c>
      <c r="D49" s="10"/>
      <c r="I49" s="12">
        <f t="shared" si="0"/>
        <v>0</v>
      </c>
    </row>
    <row r="50" spans="1:9" ht="16.5">
      <c r="A50" s="9" t="s">
        <v>55</v>
      </c>
      <c r="C50">
        <v>1</v>
      </c>
      <c r="D50" s="10"/>
      <c r="I50" s="12">
        <f t="shared" si="0"/>
        <v>0</v>
      </c>
    </row>
    <row r="51" spans="1:9" ht="16.5">
      <c r="A51" s="9" t="s">
        <v>56</v>
      </c>
      <c r="C51">
        <v>1</v>
      </c>
      <c r="D51" s="10"/>
      <c r="I51" s="12">
        <f t="shared" si="0"/>
        <v>0</v>
      </c>
    </row>
    <row r="52" spans="1:9" ht="16.5">
      <c r="A52" s="9" t="s">
        <v>57</v>
      </c>
      <c r="C52">
        <v>1</v>
      </c>
      <c r="D52" s="10"/>
      <c r="I52" s="12">
        <f t="shared" si="0"/>
        <v>0</v>
      </c>
    </row>
    <row r="53" spans="1:9" ht="16.5">
      <c r="A53" s="4" t="s">
        <v>58</v>
      </c>
      <c r="B53" s="8"/>
      <c r="C53" s="8">
        <v>1</v>
      </c>
      <c r="D53" s="10"/>
      <c r="I53" s="12">
        <f t="shared" si="0"/>
        <v>0</v>
      </c>
    </row>
    <row r="54" spans="1:9" ht="16.5">
      <c r="A54" s="4" t="s">
        <v>59</v>
      </c>
      <c r="B54" s="8"/>
      <c r="C54" s="8">
        <v>1</v>
      </c>
      <c r="D54" s="10"/>
      <c r="I54" s="12">
        <f t="shared" si="0"/>
        <v>0</v>
      </c>
    </row>
    <row r="55" spans="1:9" ht="16.5">
      <c r="A55" s="16" t="s">
        <v>60</v>
      </c>
      <c r="B55">
        <v>1</v>
      </c>
      <c r="D55" s="10"/>
      <c r="I55" s="12">
        <f t="shared" si="0"/>
        <v>0</v>
      </c>
    </row>
    <row r="56" spans="1:9" ht="16.5">
      <c r="A56" s="4" t="s">
        <v>61</v>
      </c>
      <c r="B56" s="8">
        <v>1</v>
      </c>
      <c r="C56" s="17" t="s">
        <v>44</v>
      </c>
      <c r="D56" s="10"/>
      <c r="I56" s="12">
        <f t="shared" si="0"/>
        <v>0</v>
      </c>
    </row>
    <row r="57" spans="1:9" ht="16.5">
      <c r="A57" s="18" t="s">
        <v>62</v>
      </c>
      <c r="B57" s="19">
        <v>1</v>
      </c>
      <c r="C57" s="19"/>
      <c r="D57" s="10"/>
      <c r="I57" s="12">
        <f t="shared" si="0"/>
        <v>0</v>
      </c>
    </row>
    <row r="58" spans="1:9" ht="16.5">
      <c r="A58" s="9" t="s">
        <v>63</v>
      </c>
      <c r="B58">
        <v>1</v>
      </c>
      <c r="D58" s="10"/>
      <c r="I58" s="12">
        <f t="shared" si="0"/>
        <v>0</v>
      </c>
    </row>
    <row r="59" spans="1:9" ht="16.5">
      <c r="A59" s="9" t="s">
        <v>64</v>
      </c>
      <c r="B59">
        <v>1</v>
      </c>
      <c r="D59" s="10"/>
      <c r="I59" s="12">
        <f t="shared" si="0"/>
        <v>0</v>
      </c>
    </row>
    <row r="60" spans="1:9" ht="16.5">
      <c r="A60" s="4" t="s">
        <v>65</v>
      </c>
      <c r="B60" s="8"/>
      <c r="C60" s="8">
        <v>1</v>
      </c>
      <c r="D60" s="10"/>
      <c r="I60" s="12">
        <f t="shared" si="0"/>
        <v>0</v>
      </c>
    </row>
    <row r="61" spans="1:9" ht="16.5">
      <c r="A61" s="18" t="s">
        <v>124</v>
      </c>
      <c r="B61" s="19"/>
      <c r="C61" s="19"/>
      <c r="D61" s="10"/>
      <c r="E61">
        <v>2</v>
      </c>
      <c r="F61">
        <v>33</v>
      </c>
      <c r="G61">
        <v>57</v>
      </c>
      <c r="I61" s="12">
        <f t="shared" si="0"/>
        <v>92</v>
      </c>
    </row>
    <row r="62" spans="1:9" ht="16.5">
      <c r="A62" s="26" t="s">
        <v>66</v>
      </c>
      <c r="C62">
        <v>1</v>
      </c>
      <c r="D62" s="10">
        <v>87</v>
      </c>
      <c r="I62" s="12">
        <f t="shared" si="0"/>
        <v>0</v>
      </c>
    </row>
    <row r="63" spans="1:10" ht="16.5">
      <c r="A63" s="28" t="s">
        <v>67</v>
      </c>
      <c r="C63">
        <v>2</v>
      </c>
      <c r="D63" s="10">
        <v>135</v>
      </c>
      <c r="E63">
        <v>20</v>
      </c>
      <c r="F63">
        <v>143</v>
      </c>
      <c r="G63">
        <v>85</v>
      </c>
      <c r="I63" s="12">
        <f t="shared" si="0"/>
        <v>248</v>
      </c>
      <c r="J63">
        <v>0</v>
      </c>
    </row>
    <row r="64" spans="1:9" ht="16.5">
      <c r="A64" s="21" t="s">
        <v>68</v>
      </c>
      <c r="C64">
        <v>1</v>
      </c>
      <c r="D64" s="10">
        <v>34</v>
      </c>
      <c r="I64" s="12">
        <f t="shared" si="0"/>
        <v>0</v>
      </c>
    </row>
    <row r="65" spans="1:10" ht="16.5">
      <c r="A65" s="21" t="s">
        <v>69</v>
      </c>
      <c r="C65">
        <v>19</v>
      </c>
      <c r="D65" s="10">
        <v>6</v>
      </c>
      <c r="E65">
        <v>127</v>
      </c>
      <c r="F65">
        <f>417+28</f>
        <v>445</v>
      </c>
      <c r="G65">
        <v>100</v>
      </c>
      <c r="H65">
        <v>54</v>
      </c>
      <c r="I65" s="12">
        <f t="shared" si="0"/>
        <v>726</v>
      </c>
      <c r="J65">
        <v>200</v>
      </c>
    </row>
    <row r="66" spans="1:9" ht="16.5">
      <c r="A66" s="21" t="s">
        <v>70</v>
      </c>
      <c r="C66">
        <v>1</v>
      </c>
      <c r="D66" s="10"/>
      <c r="I66" s="12">
        <f t="shared" si="0"/>
        <v>0</v>
      </c>
    </row>
    <row r="67" spans="1:9" ht="16.5">
      <c r="A67" s="28" t="s">
        <v>71</v>
      </c>
      <c r="C67">
        <v>1</v>
      </c>
      <c r="D67" s="10"/>
      <c r="I67" s="12">
        <f t="shared" si="0"/>
        <v>0</v>
      </c>
    </row>
    <row r="68" spans="1:9" ht="16.5">
      <c r="A68" s="21" t="s">
        <v>72</v>
      </c>
      <c r="C68">
        <v>1</v>
      </c>
      <c r="D68" s="10">
        <v>4</v>
      </c>
      <c r="I68" s="12">
        <f t="shared" si="0"/>
        <v>0</v>
      </c>
    </row>
    <row r="69" spans="1:9" ht="16.5">
      <c r="A69" s="22" t="s">
        <v>107</v>
      </c>
      <c r="C69">
        <v>1</v>
      </c>
      <c r="D69" s="10">
        <v>3</v>
      </c>
      <c r="I69" s="12">
        <f t="shared" si="0"/>
        <v>0</v>
      </c>
    </row>
    <row r="70" spans="1:9" ht="16.5">
      <c r="A70" s="28" t="s">
        <v>74</v>
      </c>
      <c r="C70">
        <v>1</v>
      </c>
      <c r="D70" s="10">
        <v>0</v>
      </c>
      <c r="E70">
        <v>2</v>
      </c>
      <c r="F70">
        <v>46</v>
      </c>
      <c r="I70" s="12">
        <f t="shared" si="0"/>
        <v>48</v>
      </c>
    </row>
    <row r="71" spans="1:9" ht="16.5">
      <c r="A71" s="21" t="s">
        <v>75</v>
      </c>
      <c r="C71">
        <v>1</v>
      </c>
      <c r="D71" s="10">
        <v>56</v>
      </c>
      <c r="I71" s="12">
        <f aca="true" t="shared" si="1" ref="I71:I82">SUM(E71:H71)</f>
        <v>0</v>
      </c>
    </row>
    <row r="72" spans="1:9" ht="16.5">
      <c r="A72" s="28" t="s">
        <v>76</v>
      </c>
      <c r="D72" s="10">
        <v>80</v>
      </c>
      <c r="E72">
        <v>1</v>
      </c>
      <c r="F72">
        <v>20</v>
      </c>
      <c r="G72">
        <v>43</v>
      </c>
      <c r="I72" s="12">
        <f t="shared" si="1"/>
        <v>64</v>
      </c>
    </row>
    <row r="73" spans="1:9" ht="16.5">
      <c r="A73" s="28" t="s">
        <v>77</v>
      </c>
      <c r="C73">
        <v>1</v>
      </c>
      <c r="D73" s="10">
        <v>55</v>
      </c>
      <c r="I73" s="12">
        <f t="shared" si="1"/>
        <v>0</v>
      </c>
    </row>
    <row r="74" spans="1:9" ht="16.5">
      <c r="A74" s="28" t="s">
        <v>78</v>
      </c>
      <c r="C74">
        <v>1</v>
      </c>
      <c r="D74" s="10">
        <v>62</v>
      </c>
      <c r="I74" s="12">
        <f t="shared" si="1"/>
        <v>0</v>
      </c>
    </row>
    <row r="75" spans="1:9" ht="16.5">
      <c r="A75" s="28" t="s">
        <v>79</v>
      </c>
      <c r="C75">
        <v>1</v>
      </c>
      <c r="D75" s="10">
        <v>0</v>
      </c>
      <c r="E75">
        <v>44</v>
      </c>
      <c r="F75">
        <v>119</v>
      </c>
      <c r="H75">
        <v>16</v>
      </c>
      <c r="I75" s="12">
        <f t="shared" si="1"/>
        <v>179</v>
      </c>
    </row>
    <row r="76" spans="1:10" ht="16.5">
      <c r="A76" s="21" t="s">
        <v>80</v>
      </c>
      <c r="B76">
        <v>1</v>
      </c>
      <c r="D76" s="10">
        <v>0</v>
      </c>
      <c r="E76">
        <v>226</v>
      </c>
      <c r="F76">
        <v>45</v>
      </c>
      <c r="G76">
        <v>10</v>
      </c>
      <c r="H76">
        <v>359</v>
      </c>
      <c r="I76" s="12">
        <f t="shared" si="1"/>
        <v>640</v>
      </c>
      <c r="J76">
        <v>200</v>
      </c>
    </row>
    <row r="77" spans="1:10" ht="16.5">
      <c r="A77" s="28" t="s">
        <v>81</v>
      </c>
      <c r="C77">
        <v>1</v>
      </c>
      <c r="D77" s="10">
        <v>180</v>
      </c>
      <c r="F77">
        <v>29</v>
      </c>
      <c r="G77">
        <v>88</v>
      </c>
      <c r="I77" s="12">
        <f t="shared" si="1"/>
        <v>117</v>
      </c>
      <c r="J77">
        <v>200</v>
      </c>
    </row>
    <row r="78" spans="1:9" ht="16.5">
      <c r="A78" s="21" t="s">
        <v>115</v>
      </c>
      <c r="D78" s="10">
        <v>37</v>
      </c>
      <c r="I78" s="12">
        <f t="shared" si="1"/>
        <v>0</v>
      </c>
    </row>
    <row r="79" spans="1:9" ht="16.5">
      <c r="A79" s="21" t="s">
        <v>116</v>
      </c>
      <c r="D79" s="10">
        <v>143</v>
      </c>
      <c r="I79" s="12">
        <f t="shared" si="1"/>
        <v>0</v>
      </c>
    </row>
    <row r="80" spans="1:10" ht="16.5">
      <c r="A80" s="21" t="s">
        <v>108</v>
      </c>
      <c r="C80">
        <v>10</v>
      </c>
      <c r="D80" s="10">
        <v>3418</v>
      </c>
      <c r="E80">
        <v>11</v>
      </c>
      <c r="F80">
        <v>2031</v>
      </c>
      <c r="G80">
        <v>1186</v>
      </c>
      <c r="H80">
        <v>1</v>
      </c>
      <c r="I80" s="12">
        <f t="shared" si="1"/>
        <v>3229</v>
      </c>
      <c r="J80">
        <v>28600</v>
      </c>
    </row>
    <row r="81" spans="1:10" ht="16.5">
      <c r="A81" s="21" t="s">
        <v>111</v>
      </c>
      <c r="C81">
        <v>300</v>
      </c>
      <c r="D81" s="10">
        <v>6612</v>
      </c>
      <c r="I81" s="12">
        <f t="shared" si="1"/>
        <v>0</v>
      </c>
      <c r="J81">
        <v>20400</v>
      </c>
    </row>
    <row r="82" spans="1:10" ht="16.5">
      <c r="A82" s="21" t="s">
        <v>125</v>
      </c>
      <c r="C82">
        <v>30</v>
      </c>
      <c r="D82" s="10"/>
      <c r="F82">
        <v>1137</v>
      </c>
      <c r="I82" s="12">
        <f t="shared" si="1"/>
        <v>1137</v>
      </c>
      <c r="J82">
        <v>400</v>
      </c>
    </row>
    <row r="83" spans="1:10" ht="16.5">
      <c r="A83" s="21" t="s">
        <v>117</v>
      </c>
      <c r="D83" s="10">
        <v>2</v>
      </c>
      <c r="F83">
        <v>204</v>
      </c>
      <c r="I83" s="12">
        <f>SUM(E83:H83)</f>
        <v>204</v>
      </c>
      <c r="J83">
        <v>400</v>
      </c>
    </row>
    <row r="84" spans="1:12" ht="16.5">
      <c r="A84" s="23" t="s">
        <v>82</v>
      </c>
      <c r="B84" s="24">
        <f aca="true" t="shared" si="2" ref="B84:I84">SUM(B3:B83)</f>
        <v>51</v>
      </c>
      <c r="C84" s="24">
        <f t="shared" si="2"/>
        <v>401</v>
      </c>
      <c r="D84" s="24">
        <f t="shared" si="2"/>
        <v>17888</v>
      </c>
      <c r="E84" s="24">
        <f t="shared" si="2"/>
        <v>879</v>
      </c>
      <c r="F84" s="24">
        <f t="shared" si="2"/>
        <v>9524</v>
      </c>
      <c r="G84" s="24">
        <f t="shared" si="2"/>
        <v>3385</v>
      </c>
      <c r="H84" s="24">
        <f t="shared" si="2"/>
        <v>481</v>
      </c>
      <c r="I84" s="24">
        <f t="shared" si="2"/>
        <v>14269</v>
      </c>
      <c r="J84" s="24">
        <f>SUM(J3:J83)</f>
        <v>58800</v>
      </c>
      <c r="K84" s="24">
        <f>SUM(K3:K83)</f>
        <v>0</v>
      </c>
      <c r="L84" t="s">
        <v>110</v>
      </c>
    </row>
    <row r="85" spans="1:11" ht="16.5">
      <c r="A85" s="9"/>
      <c r="D85" s="14"/>
      <c r="I85" s="25"/>
      <c r="J85" s="11">
        <v>58800</v>
      </c>
      <c r="K85" s="37" t="s">
        <v>126</v>
      </c>
    </row>
    <row r="86" spans="1:11" ht="16.5">
      <c r="A86" s="9" t="s">
        <v>83</v>
      </c>
      <c r="C86">
        <v>2</v>
      </c>
      <c r="I86" s="25"/>
      <c r="K86" s="35"/>
    </row>
    <row r="87" spans="9:10" ht="16.5">
      <c r="I87" s="34" t="s">
        <v>109</v>
      </c>
      <c r="J87" s="32">
        <f>SUM(J84)/(I84-G84-H84)</f>
        <v>5.652215707007594</v>
      </c>
    </row>
    <row r="88" ht="16.5">
      <c r="K88" t="s">
        <v>118</v>
      </c>
    </row>
  </sheetData>
  <mergeCells count="5">
    <mergeCell ref="K1:K2"/>
    <mergeCell ref="A1:A2"/>
    <mergeCell ref="B1:C1"/>
    <mergeCell ref="I1:I2"/>
    <mergeCell ref="J1:J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pane xSplit="3" ySplit="2" topLeftCell="G7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87" sqref="B87"/>
    </sheetView>
  </sheetViews>
  <sheetFormatPr defaultColWidth="9.00390625" defaultRowHeight="16.5"/>
  <cols>
    <col min="1" max="1" width="31.375" style="0" customWidth="1"/>
    <col min="2" max="2" width="4.375" style="0" customWidth="1"/>
    <col min="3" max="3" width="5.375" style="0" customWidth="1"/>
    <col min="4" max="4" width="9.125" style="0" customWidth="1"/>
    <col min="5" max="5" width="9.125" style="0" bestFit="1" customWidth="1"/>
    <col min="10" max="10" width="10.375" style="0" bestFit="1" customWidth="1"/>
  </cols>
  <sheetData>
    <row r="1" spans="1:11" ht="16.5">
      <c r="A1" s="43" t="s">
        <v>127</v>
      </c>
      <c r="B1" s="44" t="s">
        <v>128</v>
      </c>
      <c r="C1" s="44"/>
      <c r="D1" s="3" t="s">
        <v>3</v>
      </c>
      <c r="E1" s="2" t="s">
        <v>3</v>
      </c>
      <c r="F1" s="2" t="s">
        <v>3</v>
      </c>
      <c r="G1" s="2" t="s">
        <v>3</v>
      </c>
      <c r="H1" s="3" t="s">
        <v>129</v>
      </c>
      <c r="I1" s="43" t="s">
        <v>130</v>
      </c>
      <c r="J1" s="43" t="s">
        <v>131</v>
      </c>
      <c r="K1" s="45" t="s">
        <v>132</v>
      </c>
    </row>
    <row r="2" spans="1:11" ht="16.5">
      <c r="A2" s="43"/>
      <c r="B2" s="5" t="s">
        <v>133</v>
      </c>
      <c r="C2" s="5" t="s">
        <v>134</v>
      </c>
      <c r="D2" s="6" t="s">
        <v>211</v>
      </c>
      <c r="E2" s="7" t="s">
        <v>114</v>
      </c>
      <c r="F2" s="7" t="s">
        <v>120</v>
      </c>
      <c r="G2" s="7" t="s">
        <v>212</v>
      </c>
      <c r="H2" s="3" t="s">
        <v>135</v>
      </c>
      <c r="I2" s="43"/>
      <c r="J2" s="43"/>
      <c r="K2" s="45"/>
    </row>
    <row r="3" spans="1:9" ht="16.5">
      <c r="A3" s="26" t="s">
        <v>163</v>
      </c>
      <c r="B3">
        <v>1</v>
      </c>
      <c r="D3" s="38">
        <v>98</v>
      </c>
      <c r="F3">
        <v>44</v>
      </c>
      <c r="G3">
        <v>79</v>
      </c>
      <c r="I3" s="39">
        <f aca="true" t="shared" si="0" ref="I3:I34">SUM(E3:H3)</f>
        <v>123</v>
      </c>
    </row>
    <row r="4" spans="1:11" ht="16.5">
      <c r="A4" s="26" t="s">
        <v>164</v>
      </c>
      <c r="B4">
        <v>1</v>
      </c>
      <c r="D4" s="38">
        <v>86</v>
      </c>
      <c r="F4">
        <v>39</v>
      </c>
      <c r="G4">
        <v>63</v>
      </c>
      <c r="H4">
        <v>3</v>
      </c>
      <c r="I4" s="39">
        <f t="shared" si="0"/>
        <v>105</v>
      </c>
      <c r="K4">
        <v>20</v>
      </c>
    </row>
    <row r="5" spans="1:10" ht="16.5">
      <c r="A5" s="26" t="s">
        <v>165</v>
      </c>
      <c r="B5">
        <v>1</v>
      </c>
      <c r="D5" s="38">
        <v>135</v>
      </c>
      <c r="F5">
        <v>67</v>
      </c>
      <c r="G5">
        <v>294</v>
      </c>
      <c r="I5" s="39">
        <f t="shared" si="0"/>
        <v>361</v>
      </c>
      <c r="J5">
        <v>200</v>
      </c>
    </row>
    <row r="6" spans="1:9" ht="16.5">
      <c r="A6" s="26" t="s">
        <v>166</v>
      </c>
      <c r="B6">
        <v>1</v>
      </c>
      <c r="D6" s="38">
        <v>3</v>
      </c>
      <c r="E6">
        <v>10</v>
      </c>
      <c r="F6">
        <f>35+275</f>
        <v>310</v>
      </c>
      <c r="G6">
        <v>312</v>
      </c>
      <c r="H6">
        <v>1</v>
      </c>
      <c r="I6" s="39">
        <f t="shared" si="0"/>
        <v>633</v>
      </c>
    </row>
    <row r="7" spans="1:10" ht="16.5">
      <c r="A7" s="26" t="s">
        <v>167</v>
      </c>
      <c r="B7">
        <v>1</v>
      </c>
      <c r="C7">
        <v>2</v>
      </c>
      <c r="D7" s="38">
        <v>10</v>
      </c>
      <c r="E7">
        <f>197+16</f>
        <v>213</v>
      </c>
      <c r="F7">
        <f>166+244+103</f>
        <v>513</v>
      </c>
      <c r="G7">
        <v>362</v>
      </c>
      <c r="H7">
        <f>1+18</f>
        <v>19</v>
      </c>
      <c r="I7" s="39">
        <f t="shared" si="0"/>
        <v>1107</v>
      </c>
      <c r="J7">
        <v>600</v>
      </c>
    </row>
    <row r="8" spans="1:9" ht="16.5">
      <c r="A8" s="26" t="s">
        <v>168</v>
      </c>
      <c r="D8" s="38">
        <v>175</v>
      </c>
      <c r="F8">
        <v>12</v>
      </c>
      <c r="G8">
        <v>2</v>
      </c>
      <c r="H8">
        <v>1</v>
      </c>
      <c r="I8" s="39">
        <f t="shared" si="0"/>
        <v>15</v>
      </c>
    </row>
    <row r="9" spans="1:10" ht="16.5">
      <c r="A9" s="9" t="s">
        <v>169</v>
      </c>
      <c r="B9">
        <v>1</v>
      </c>
      <c r="C9">
        <v>1</v>
      </c>
      <c r="D9" s="38"/>
      <c r="E9">
        <v>363</v>
      </c>
      <c r="F9">
        <v>429</v>
      </c>
      <c r="G9">
        <v>146</v>
      </c>
      <c r="H9">
        <v>80</v>
      </c>
      <c r="I9" s="39">
        <f t="shared" si="0"/>
        <v>1018</v>
      </c>
      <c r="J9">
        <v>400</v>
      </c>
    </row>
    <row r="10" spans="1:11" ht="16.5">
      <c r="A10" s="9" t="s">
        <v>170</v>
      </c>
      <c r="B10">
        <v>1</v>
      </c>
      <c r="D10" s="38"/>
      <c r="E10">
        <v>54</v>
      </c>
      <c r="F10">
        <v>61</v>
      </c>
      <c r="G10">
        <v>17</v>
      </c>
      <c r="H10">
        <v>10</v>
      </c>
      <c r="I10" s="39">
        <f t="shared" si="0"/>
        <v>142</v>
      </c>
      <c r="J10">
        <v>0</v>
      </c>
      <c r="K10">
        <v>1</v>
      </c>
    </row>
    <row r="11" spans="1:11" ht="16.5">
      <c r="A11" s="9" t="s">
        <v>171</v>
      </c>
      <c r="B11">
        <v>1</v>
      </c>
      <c r="D11" s="38"/>
      <c r="E11">
        <v>109</v>
      </c>
      <c r="F11">
        <f>15+171</f>
        <v>186</v>
      </c>
      <c r="G11">
        <v>71</v>
      </c>
      <c r="H11">
        <v>83</v>
      </c>
      <c r="I11" s="39">
        <f t="shared" si="0"/>
        <v>449</v>
      </c>
      <c r="J11">
        <v>200</v>
      </c>
      <c r="K11" s="13" t="s">
        <v>213</v>
      </c>
    </row>
    <row r="12" spans="1:11" ht="16.5">
      <c r="A12" s="9" t="s">
        <v>172</v>
      </c>
      <c r="C12">
        <v>1</v>
      </c>
      <c r="D12" s="38"/>
      <c r="I12" s="39">
        <f t="shared" si="0"/>
        <v>0</v>
      </c>
      <c r="K12" t="s">
        <v>216</v>
      </c>
    </row>
    <row r="13" spans="1:9" ht="16.5">
      <c r="A13" s="26" t="s">
        <v>173</v>
      </c>
      <c r="B13">
        <v>1</v>
      </c>
      <c r="D13" s="38"/>
      <c r="I13" s="39">
        <f t="shared" si="0"/>
        <v>0</v>
      </c>
    </row>
    <row r="14" spans="1:10" ht="16.5">
      <c r="A14" s="26" t="s">
        <v>174</v>
      </c>
      <c r="C14">
        <v>1</v>
      </c>
      <c r="D14" s="38"/>
      <c r="E14">
        <v>28</v>
      </c>
      <c r="F14">
        <v>195</v>
      </c>
      <c r="H14">
        <v>24</v>
      </c>
      <c r="I14" s="39">
        <f t="shared" si="0"/>
        <v>247</v>
      </c>
      <c r="J14">
        <v>400</v>
      </c>
    </row>
    <row r="15" spans="1:9" ht="16.5">
      <c r="A15" s="26" t="s">
        <v>175</v>
      </c>
      <c r="B15">
        <v>1</v>
      </c>
      <c r="D15" s="38">
        <v>46</v>
      </c>
      <c r="E15">
        <v>3</v>
      </c>
      <c r="F15">
        <f>105+158</f>
        <v>263</v>
      </c>
      <c r="G15">
        <v>77</v>
      </c>
      <c r="I15" s="39">
        <f t="shared" si="0"/>
        <v>343</v>
      </c>
    </row>
    <row r="16" spans="1:9" ht="16.5">
      <c r="A16" s="26" t="s">
        <v>29</v>
      </c>
      <c r="B16">
        <v>2</v>
      </c>
      <c r="D16" s="38"/>
      <c r="F16">
        <v>172</v>
      </c>
      <c r="G16">
        <v>35</v>
      </c>
      <c r="I16" s="39">
        <f t="shared" si="0"/>
        <v>207</v>
      </c>
    </row>
    <row r="17" spans="1:10" ht="16.5">
      <c r="A17" s="9" t="s">
        <v>28</v>
      </c>
      <c r="B17">
        <v>4</v>
      </c>
      <c r="D17" s="38"/>
      <c r="F17">
        <v>406</v>
      </c>
      <c r="I17" s="39">
        <f t="shared" si="0"/>
        <v>406</v>
      </c>
      <c r="J17">
        <v>600</v>
      </c>
    </row>
    <row r="18" spans="1:10" ht="16.5">
      <c r="A18" s="26" t="s">
        <v>136</v>
      </c>
      <c r="B18">
        <v>2</v>
      </c>
      <c r="D18" s="38"/>
      <c r="E18">
        <v>46</v>
      </c>
      <c r="F18">
        <f>58+75</f>
        <v>133</v>
      </c>
      <c r="G18">
        <f>155+300+300+339</f>
        <v>1094</v>
      </c>
      <c r="H18">
        <v>34</v>
      </c>
      <c r="I18" s="39">
        <f t="shared" si="0"/>
        <v>1307</v>
      </c>
      <c r="J18">
        <v>200</v>
      </c>
    </row>
    <row r="19" spans="1:10" ht="16.5">
      <c r="A19" s="26" t="s">
        <v>137</v>
      </c>
      <c r="B19">
        <v>2</v>
      </c>
      <c r="D19" s="38"/>
      <c r="F19">
        <v>1261</v>
      </c>
      <c r="I19" s="39">
        <f t="shared" si="0"/>
        <v>1261</v>
      </c>
      <c r="J19">
        <v>400</v>
      </c>
    </row>
    <row r="20" spans="1:10" ht="16.5">
      <c r="A20" s="9" t="s">
        <v>27</v>
      </c>
      <c r="B20">
        <v>2</v>
      </c>
      <c r="D20" s="38"/>
      <c r="F20">
        <v>570</v>
      </c>
      <c r="I20" s="39">
        <f t="shared" si="0"/>
        <v>570</v>
      </c>
      <c r="J20">
        <v>200</v>
      </c>
    </row>
    <row r="21" spans="1:10" ht="16.5">
      <c r="A21" s="26" t="s">
        <v>26</v>
      </c>
      <c r="B21">
        <v>2</v>
      </c>
      <c r="D21" s="38"/>
      <c r="E21">
        <f>900+110+5</f>
        <v>1015</v>
      </c>
      <c r="F21">
        <f>2100+140</f>
        <v>2240</v>
      </c>
      <c r="G21">
        <f>600+278+51</f>
        <v>929</v>
      </c>
      <c r="H21">
        <v>95</v>
      </c>
      <c r="I21" s="39">
        <f t="shared" si="0"/>
        <v>4279</v>
      </c>
      <c r="J21">
        <f>200+800</f>
        <v>1000</v>
      </c>
    </row>
    <row r="22" spans="1:10" ht="16.5">
      <c r="A22" s="26" t="s">
        <v>138</v>
      </c>
      <c r="B22">
        <v>2</v>
      </c>
      <c r="D22" s="38">
        <v>250</v>
      </c>
      <c r="I22" s="39">
        <f t="shared" si="0"/>
        <v>0</v>
      </c>
      <c r="J22" s="19"/>
    </row>
    <row r="23" spans="1:10" ht="16.5">
      <c r="A23" s="26" t="s">
        <v>139</v>
      </c>
      <c r="B23">
        <v>2</v>
      </c>
      <c r="D23" s="38"/>
      <c r="E23">
        <v>6</v>
      </c>
      <c r="F23">
        <v>448</v>
      </c>
      <c r="I23" s="39">
        <f t="shared" si="0"/>
        <v>454</v>
      </c>
      <c r="J23">
        <v>200</v>
      </c>
    </row>
    <row r="24" spans="1:10" ht="16.5">
      <c r="A24" s="26" t="s">
        <v>24</v>
      </c>
      <c r="B24">
        <v>2</v>
      </c>
      <c r="D24" s="38"/>
      <c r="E24">
        <v>313</v>
      </c>
      <c r="F24">
        <v>570</v>
      </c>
      <c r="I24" s="39">
        <f t="shared" si="0"/>
        <v>883</v>
      </c>
      <c r="J24">
        <f>400+1200</f>
        <v>1600</v>
      </c>
    </row>
    <row r="25" spans="1:9" ht="16.5">
      <c r="A25" s="26" t="s">
        <v>176</v>
      </c>
      <c r="B25">
        <v>2</v>
      </c>
      <c r="D25" s="38"/>
      <c r="I25" s="39">
        <f t="shared" si="0"/>
        <v>0</v>
      </c>
    </row>
    <row r="26" spans="1:9" ht="16.5">
      <c r="A26" s="30" t="s">
        <v>177</v>
      </c>
      <c r="B26" s="17"/>
      <c r="C26" s="17">
        <v>1</v>
      </c>
      <c r="D26" s="38"/>
      <c r="I26" s="39">
        <f t="shared" si="0"/>
        <v>0</v>
      </c>
    </row>
    <row r="27" spans="1:9" ht="16.5">
      <c r="A27" s="30" t="s">
        <v>178</v>
      </c>
      <c r="B27" s="17"/>
      <c r="C27" s="17">
        <v>1</v>
      </c>
      <c r="D27" s="38"/>
      <c r="I27" s="39">
        <f t="shared" si="0"/>
        <v>0</v>
      </c>
    </row>
    <row r="28" spans="1:9" ht="16.5">
      <c r="A28" s="27" t="s">
        <v>179</v>
      </c>
      <c r="B28" s="13"/>
      <c r="C28" s="13">
        <v>1</v>
      </c>
      <c r="D28" s="38"/>
      <c r="I28" s="39">
        <f t="shared" si="0"/>
        <v>0</v>
      </c>
    </row>
    <row r="29" spans="1:10" ht="16.5">
      <c r="A29" s="27" t="s">
        <v>180</v>
      </c>
      <c r="B29" s="13"/>
      <c r="C29" s="13">
        <v>1</v>
      </c>
      <c r="D29" s="38"/>
      <c r="F29">
        <v>172</v>
      </c>
      <c r="G29">
        <v>1</v>
      </c>
      <c r="I29" s="39">
        <f t="shared" si="0"/>
        <v>173</v>
      </c>
      <c r="J29">
        <v>600</v>
      </c>
    </row>
    <row r="30" spans="1:9" ht="16.5">
      <c r="A30" s="26" t="s">
        <v>140</v>
      </c>
      <c r="B30">
        <v>1</v>
      </c>
      <c r="C30">
        <v>1</v>
      </c>
      <c r="D30" s="38"/>
      <c r="I30" s="39">
        <f t="shared" si="0"/>
        <v>0</v>
      </c>
    </row>
    <row r="31" spans="1:9" ht="16.5">
      <c r="A31" s="9" t="s">
        <v>35</v>
      </c>
      <c r="C31">
        <v>1</v>
      </c>
      <c r="D31" s="38"/>
      <c r="I31" s="39">
        <f t="shared" si="0"/>
        <v>0</v>
      </c>
    </row>
    <row r="32" spans="1:9" ht="16.5">
      <c r="A32" s="26" t="s">
        <v>36</v>
      </c>
      <c r="C32">
        <v>1</v>
      </c>
      <c r="D32" s="38"/>
      <c r="E32">
        <v>79</v>
      </c>
      <c r="F32">
        <v>79</v>
      </c>
      <c r="G32">
        <v>2</v>
      </c>
      <c r="H32">
        <v>141</v>
      </c>
      <c r="I32" s="39">
        <f t="shared" si="0"/>
        <v>301</v>
      </c>
    </row>
    <row r="33" spans="1:9" ht="16.5">
      <c r="A33" s="26" t="s">
        <v>37</v>
      </c>
      <c r="C33">
        <v>1</v>
      </c>
      <c r="D33" s="38">
        <v>3</v>
      </c>
      <c r="E33">
        <v>76</v>
      </c>
      <c r="F33">
        <v>107</v>
      </c>
      <c r="G33">
        <v>1</v>
      </c>
      <c r="H33">
        <f>61+7</f>
        <v>68</v>
      </c>
      <c r="I33" s="39">
        <f t="shared" si="0"/>
        <v>252</v>
      </c>
    </row>
    <row r="34" spans="1:9" ht="16.5">
      <c r="A34" s="9" t="s">
        <v>38</v>
      </c>
      <c r="C34">
        <v>1</v>
      </c>
      <c r="D34" s="38"/>
      <c r="I34" s="39">
        <f t="shared" si="0"/>
        <v>0</v>
      </c>
    </row>
    <row r="35" spans="1:9" ht="16.5">
      <c r="A35" s="26" t="s">
        <v>39</v>
      </c>
      <c r="C35">
        <v>1</v>
      </c>
      <c r="D35" s="38"/>
      <c r="E35">
        <v>18</v>
      </c>
      <c r="F35">
        <v>194</v>
      </c>
      <c r="G35">
        <v>0</v>
      </c>
      <c r="H35">
        <v>0</v>
      </c>
      <c r="I35" s="39">
        <f aca="true" t="shared" si="1" ref="I35:I66">SUM(E35:H35)</f>
        <v>212</v>
      </c>
    </row>
    <row r="36" spans="1:9" ht="16.5">
      <c r="A36" s="26" t="s">
        <v>40</v>
      </c>
      <c r="C36">
        <v>1</v>
      </c>
      <c r="D36" s="38">
        <v>53</v>
      </c>
      <c r="I36" s="39">
        <f t="shared" si="1"/>
        <v>0</v>
      </c>
    </row>
    <row r="37" spans="1:10" ht="16.5">
      <c r="A37" s="4" t="s">
        <v>181</v>
      </c>
      <c r="B37" s="8">
        <v>5</v>
      </c>
      <c r="C37" s="8"/>
      <c r="D37" s="38">
        <v>957</v>
      </c>
      <c r="I37" s="39">
        <f t="shared" si="1"/>
        <v>0</v>
      </c>
      <c r="J37">
        <v>200</v>
      </c>
    </row>
    <row r="38" spans="1:9" ht="16.5">
      <c r="A38" s="9" t="s">
        <v>182</v>
      </c>
      <c r="C38">
        <v>1</v>
      </c>
      <c r="D38" s="38"/>
      <c r="I38" s="39">
        <f t="shared" si="1"/>
        <v>0</v>
      </c>
    </row>
    <row r="39" spans="1:9" ht="16.5">
      <c r="A39" s="26" t="s">
        <v>183</v>
      </c>
      <c r="B39">
        <v>1</v>
      </c>
      <c r="C39" s="13" t="s">
        <v>141</v>
      </c>
      <c r="D39" s="38"/>
      <c r="I39" s="39">
        <f t="shared" si="1"/>
        <v>0</v>
      </c>
    </row>
    <row r="40" spans="1:9" ht="16.5">
      <c r="A40" s="9" t="s">
        <v>184</v>
      </c>
      <c r="B40">
        <v>1</v>
      </c>
      <c r="D40" s="38"/>
      <c r="I40" s="39">
        <f t="shared" si="1"/>
        <v>0</v>
      </c>
    </row>
    <row r="41" spans="1:9" ht="16.5">
      <c r="A41" s="4" t="s">
        <v>185</v>
      </c>
      <c r="B41" s="8">
        <v>1</v>
      </c>
      <c r="C41" s="8"/>
      <c r="D41" s="38"/>
      <c r="I41" s="39">
        <f t="shared" si="1"/>
        <v>0</v>
      </c>
    </row>
    <row r="42" spans="1:9" ht="16.5">
      <c r="A42" s="16" t="s">
        <v>186</v>
      </c>
      <c r="B42">
        <v>1</v>
      </c>
      <c r="D42" s="38"/>
      <c r="E42">
        <v>42</v>
      </c>
      <c r="F42">
        <v>11</v>
      </c>
      <c r="H42">
        <f>236+49</f>
        <v>285</v>
      </c>
      <c r="I42" s="39">
        <f t="shared" si="1"/>
        <v>338</v>
      </c>
    </row>
    <row r="43" spans="1:9" ht="16.5">
      <c r="A43" s="9" t="s">
        <v>187</v>
      </c>
      <c r="B43">
        <v>1</v>
      </c>
      <c r="D43" s="38"/>
      <c r="I43" s="39">
        <f t="shared" si="1"/>
        <v>0</v>
      </c>
    </row>
    <row r="44" spans="1:9" ht="16.5">
      <c r="A44" s="4" t="s">
        <v>188</v>
      </c>
      <c r="B44" s="8">
        <v>1</v>
      </c>
      <c r="C44" s="8"/>
      <c r="D44" s="38"/>
      <c r="I44" s="39">
        <f t="shared" si="1"/>
        <v>0</v>
      </c>
    </row>
    <row r="45" spans="1:9" ht="16.5">
      <c r="A45" s="4" t="s">
        <v>189</v>
      </c>
      <c r="B45" s="8"/>
      <c r="C45" s="8">
        <v>1</v>
      </c>
      <c r="D45" s="38"/>
      <c r="I45" s="39">
        <f t="shared" si="1"/>
        <v>0</v>
      </c>
    </row>
    <row r="46" spans="1:10" ht="16.5">
      <c r="A46" s="26" t="s">
        <v>190</v>
      </c>
      <c r="C46">
        <v>1</v>
      </c>
      <c r="D46" s="38"/>
      <c r="E46">
        <v>47</v>
      </c>
      <c r="F46">
        <v>26</v>
      </c>
      <c r="I46" s="39">
        <f t="shared" si="1"/>
        <v>73</v>
      </c>
      <c r="J46">
        <v>200</v>
      </c>
    </row>
    <row r="47" spans="1:9" ht="16.5">
      <c r="A47" s="4" t="s">
        <v>191</v>
      </c>
      <c r="B47" s="8"/>
      <c r="C47" s="8">
        <v>1</v>
      </c>
      <c r="D47" s="38"/>
      <c r="I47" s="39">
        <f t="shared" si="1"/>
        <v>0</v>
      </c>
    </row>
    <row r="48" spans="1:9" ht="16.5">
      <c r="A48" s="9" t="s">
        <v>192</v>
      </c>
      <c r="C48">
        <v>1</v>
      </c>
      <c r="D48" s="38"/>
      <c r="I48" s="39">
        <f t="shared" si="1"/>
        <v>0</v>
      </c>
    </row>
    <row r="49" spans="1:9" ht="16.5">
      <c r="A49" s="9" t="s">
        <v>193</v>
      </c>
      <c r="B49">
        <v>1</v>
      </c>
      <c r="C49">
        <v>1</v>
      </c>
      <c r="D49" s="38"/>
      <c r="I49" s="39">
        <f t="shared" si="1"/>
        <v>0</v>
      </c>
    </row>
    <row r="50" spans="1:9" ht="16.5">
      <c r="A50" s="9" t="s">
        <v>194</v>
      </c>
      <c r="C50">
        <v>1</v>
      </c>
      <c r="D50" s="38"/>
      <c r="I50" s="39">
        <f t="shared" si="1"/>
        <v>0</v>
      </c>
    </row>
    <row r="51" spans="1:9" ht="16.5">
      <c r="A51" s="9" t="s">
        <v>195</v>
      </c>
      <c r="C51">
        <v>1</v>
      </c>
      <c r="D51" s="38"/>
      <c r="I51" s="39">
        <f t="shared" si="1"/>
        <v>0</v>
      </c>
    </row>
    <row r="52" spans="1:9" ht="16.5">
      <c r="A52" s="9" t="s">
        <v>196</v>
      </c>
      <c r="C52">
        <v>1</v>
      </c>
      <c r="D52" s="38"/>
      <c r="I52" s="39">
        <f t="shared" si="1"/>
        <v>0</v>
      </c>
    </row>
    <row r="53" spans="1:9" ht="16.5">
      <c r="A53" s="4" t="s">
        <v>197</v>
      </c>
      <c r="B53" s="8"/>
      <c r="C53" s="8">
        <v>1</v>
      </c>
      <c r="D53" s="38"/>
      <c r="I53" s="39">
        <f t="shared" si="1"/>
        <v>0</v>
      </c>
    </row>
    <row r="54" spans="1:9" ht="16.5">
      <c r="A54" s="4" t="s">
        <v>198</v>
      </c>
      <c r="B54" s="8"/>
      <c r="C54" s="8">
        <v>1</v>
      </c>
      <c r="D54" s="38"/>
      <c r="I54" s="39">
        <f t="shared" si="1"/>
        <v>0</v>
      </c>
    </row>
    <row r="55" spans="1:9" ht="16.5">
      <c r="A55" s="16" t="s">
        <v>199</v>
      </c>
      <c r="B55">
        <v>1</v>
      </c>
      <c r="D55" s="38"/>
      <c r="I55" s="39">
        <f t="shared" si="1"/>
        <v>0</v>
      </c>
    </row>
    <row r="56" spans="1:9" ht="16.5">
      <c r="A56" s="4" t="s">
        <v>200</v>
      </c>
      <c r="B56" s="8">
        <v>1</v>
      </c>
      <c r="C56" s="17" t="s">
        <v>141</v>
      </c>
      <c r="D56" s="38"/>
      <c r="I56" s="39">
        <f t="shared" si="1"/>
        <v>0</v>
      </c>
    </row>
    <row r="57" spans="1:9" ht="16.5">
      <c r="A57" s="18" t="s">
        <v>201</v>
      </c>
      <c r="B57" s="19">
        <v>1</v>
      </c>
      <c r="C57" s="19"/>
      <c r="D57" s="38"/>
      <c r="I57" s="39">
        <f t="shared" si="1"/>
        <v>0</v>
      </c>
    </row>
    <row r="58" spans="1:9" ht="16.5">
      <c r="A58" s="9" t="s">
        <v>202</v>
      </c>
      <c r="B58">
        <v>1</v>
      </c>
      <c r="D58" s="38"/>
      <c r="I58" s="39">
        <f t="shared" si="1"/>
        <v>0</v>
      </c>
    </row>
    <row r="59" spans="1:9" ht="16.5">
      <c r="A59" s="9" t="s">
        <v>203</v>
      </c>
      <c r="B59">
        <v>1</v>
      </c>
      <c r="D59" s="38"/>
      <c r="I59" s="39">
        <f t="shared" si="1"/>
        <v>0</v>
      </c>
    </row>
    <row r="60" spans="1:9" ht="16.5">
      <c r="A60" s="4" t="s">
        <v>204</v>
      </c>
      <c r="B60" s="8"/>
      <c r="C60" s="8">
        <v>1</v>
      </c>
      <c r="D60" s="38"/>
      <c r="I60" s="39">
        <f t="shared" si="1"/>
        <v>0</v>
      </c>
    </row>
    <row r="61" spans="1:9" ht="16.5">
      <c r="A61" s="18" t="s">
        <v>142</v>
      </c>
      <c r="B61" s="19"/>
      <c r="C61" s="19"/>
      <c r="D61" s="38">
        <v>57</v>
      </c>
      <c r="I61" s="39">
        <f t="shared" si="1"/>
        <v>0</v>
      </c>
    </row>
    <row r="62" spans="1:9" ht="16.5">
      <c r="A62" s="26" t="s">
        <v>205</v>
      </c>
      <c r="C62">
        <v>1</v>
      </c>
      <c r="D62" s="38"/>
      <c r="I62" s="39">
        <f t="shared" si="1"/>
        <v>0</v>
      </c>
    </row>
    <row r="63" spans="1:9" ht="16.5">
      <c r="A63" s="28" t="s">
        <v>143</v>
      </c>
      <c r="C63">
        <v>2</v>
      </c>
      <c r="D63" s="38">
        <v>85</v>
      </c>
      <c r="E63">
        <v>39</v>
      </c>
      <c r="F63">
        <v>165</v>
      </c>
      <c r="G63">
        <v>68</v>
      </c>
      <c r="H63">
        <v>103</v>
      </c>
      <c r="I63" s="39">
        <f t="shared" si="1"/>
        <v>375</v>
      </c>
    </row>
    <row r="64" spans="1:9" ht="16.5">
      <c r="A64" s="21" t="s">
        <v>144</v>
      </c>
      <c r="C64">
        <v>1</v>
      </c>
      <c r="D64" s="38"/>
      <c r="I64" s="39">
        <f t="shared" si="1"/>
        <v>0</v>
      </c>
    </row>
    <row r="65" spans="1:9" ht="16.5">
      <c r="A65" s="21" t="s">
        <v>206</v>
      </c>
      <c r="C65">
        <v>19</v>
      </c>
      <c r="D65" s="38">
        <v>100</v>
      </c>
      <c r="I65" s="39">
        <f t="shared" si="1"/>
        <v>0</v>
      </c>
    </row>
    <row r="66" spans="1:9" ht="16.5">
      <c r="A66" s="21" t="s">
        <v>145</v>
      </c>
      <c r="C66">
        <v>1</v>
      </c>
      <c r="D66" s="38"/>
      <c r="I66" s="39">
        <f t="shared" si="1"/>
        <v>0</v>
      </c>
    </row>
    <row r="67" spans="1:9" ht="16.5">
      <c r="A67" s="28" t="s">
        <v>146</v>
      </c>
      <c r="C67">
        <v>1</v>
      </c>
      <c r="D67" s="38"/>
      <c r="E67">
        <v>59</v>
      </c>
      <c r="F67">
        <v>68</v>
      </c>
      <c r="G67">
        <v>5</v>
      </c>
      <c r="H67">
        <v>1</v>
      </c>
      <c r="I67" s="39">
        <f aca="true" t="shared" si="2" ref="I67:I83">SUM(E67:H67)</f>
        <v>133</v>
      </c>
    </row>
    <row r="68" spans="1:9" ht="16.5">
      <c r="A68" s="21" t="s">
        <v>207</v>
      </c>
      <c r="C68">
        <v>1</v>
      </c>
      <c r="D68" s="38"/>
      <c r="I68" s="39">
        <f t="shared" si="2"/>
        <v>0</v>
      </c>
    </row>
    <row r="69" spans="1:9" ht="16.5">
      <c r="A69" s="22" t="s">
        <v>147</v>
      </c>
      <c r="C69">
        <v>1</v>
      </c>
      <c r="D69" s="38"/>
      <c r="I69" s="39">
        <f t="shared" si="2"/>
        <v>0</v>
      </c>
    </row>
    <row r="70" spans="1:9" ht="16.5">
      <c r="A70" s="28" t="s">
        <v>148</v>
      </c>
      <c r="C70">
        <v>1</v>
      </c>
      <c r="D70" s="38"/>
      <c r="E70">
        <v>1</v>
      </c>
      <c r="F70">
        <v>9</v>
      </c>
      <c r="I70" s="39">
        <f t="shared" si="2"/>
        <v>10</v>
      </c>
    </row>
    <row r="71" spans="1:9" ht="16.5">
      <c r="A71" s="42" t="s">
        <v>149</v>
      </c>
      <c r="C71">
        <v>1</v>
      </c>
      <c r="D71" s="38"/>
      <c r="I71" s="39">
        <f t="shared" si="2"/>
        <v>0</v>
      </c>
    </row>
    <row r="72" spans="1:9" ht="16.5">
      <c r="A72" s="28" t="s">
        <v>208</v>
      </c>
      <c r="D72" s="38">
        <v>43</v>
      </c>
      <c r="F72">
        <v>41</v>
      </c>
      <c r="G72">
        <f>6+45</f>
        <v>51</v>
      </c>
      <c r="I72" s="39">
        <f t="shared" si="2"/>
        <v>92</v>
      </c>
    </row>
    <row r="73" spans="1:9" ht="16.5">
      <c r="A73" s="28" t="s">
        <v>150</v>
      </c>
      <c r="C73">
        <v>1</v>
      </c>
      <c r="D73" s="38"/>
      <c r="I73" s="39">
        <f t="shared" si="2"/>
        <v>0</v>
      </c>
    </row>
    <row r="74" spans="1:9" ht="16.5">
      <c r="A74" s="28" t="s">
        <v>209</v>
      </c>
      <c r="C74">
        <v>1</v>
      </c>
      <c r="D74" s="38"/>
      <c r="F74">
        <f>1+64</f>
        <v>65</v>
      </c>
      <c r="G74">
        <v>49</v>
      </c>
      <c r="I74" s="39">
        <f t="shared" si="2"/>
        <v>114</v>
      </c>
    </row>
    <row r="75" spans="1:10" ht="16.5">
      <c r="A75" s="28" t="s">
        <v>151</v>
      </c>
      <c r="C75">
        <v>1</v>
      </c>
      <c r="D75" s="38"/>
      <c r="E75">
        <v>11</v>
      </c>
      <c r="F75">
        <v>117</v>
      </c>
      <c r="G75">
        <v>0</v>
      </c>
      <c r="H75">
        <v>3</v>
      </c>
      <c r="I75" s="39">
        <f t="shared" si="2"/>
        <v>131</v>
      </c>
      <c r="J75">
        <v>0</v>
      </c>
    </row>
    <row r="76" spans="1:9" ht="16.5">
      <c r="A76" s="21" t="s">
        <v>152</v>
      </c>
      <c r="B76">
        <v>1</v>
      </c>
      <c r="D76" s="38">
        <v>10</v>
      </c>
      <c r="G76">
        <v>1</v>
      </c>
      <c r="I76" s="39">
        <f t="shared" si="2"/>
        <v>1</v>
      </c>
    </row>
    <row r="77" spans="1:9" ht="16.5">
      <c r="A77" s="28" t="s">
        <v>153</v>
      </c>
      <c r="C77">
        <v>1</v>
      </c>
      <c r="D77" s="38">
        <v>88</v>
      </c>
      <c r="E77">
        <v>63</v>
      </c>
      <c r="F77">
        <v>73</v>
      </c>
      <c r="G77">
        <f>40+4</f>
        <v>44</v>
      </c>
      <c r="H77">
        <v>87</v>
      </c>
      <c r="I77" s="39">
        <f t="shared" si="2"/>
        <v>267</v>
      </c>
    </row>
    <row r="78" spans="1:10" ht="16.5">
      <c r="A78" s="21" t="s">
        <v>154</v>
      </c>
      <c r="D78" s="38"/>
      <c r="E78">
        <v>1</v>
      </c>
      <c r="F78">
        <v>104</v>
      </c>
      <c r="I78" s="39">
        <f t="shared" si="2"/>
        <v>105</v>
      </c>
      <c r="J78">
        <v>200</v>
      </c>
    </row>
    <row r="79" spans="1:9" ht="16.5">
      <c r="A79" s="21" t="s">
        <v>155</v>
      </c>
      <c r="D79" s="38"/>
      <c r="E79">
        <v>9</v>
      </c>
      <c r="F79">
        <v>109</v>
      </c>
      <c r="I79" s="39">
        <f t="shared" si="2"/>
        <v>118</v>
      </c>
    </row>
    <row r="80" spans="1:10" ht="16.5">
      <c r="A80" s="21" t="s">
        <v>156</v>
      </c>
      <c r="C80">
        <v>10</v>
      </c>
      <c r="D80" s="38">
        <v>1186</v>
      </c>
      <c r="E80">
        <v>3</v>
      </c>
      <c r="F80">
        <v>1293</v>
      </c>
      <c r="I80" s="39">
        <f t="shared" si="2"/>
        <v>1296</v>
      </c>
      <c r="J80">
        <v>600</v>
      </c>
    </row>
    <row r="81" spans="1:9" ht="16.5">
      <c r="A81" s="21" t="s">
        <v>157</v>
      </c>
      <c r="C81">
        <v>300</v>
      </c>
      <c r="D81" s="38"/>
      <c r="I81" s="39">
        <f t="shared" si="2"/>
        <v>0</v>
      </c>
    </row>
    <row r="82" spans="1:10" ht="16.5">
      <c r="A82" s="21" t="s">
        <v>214</v>
      </c>
      <c r="C82">
        <v>30</v>
      </c>
      <c r="D82" s="38"/>
      <c r="E82" s="11">
        <f>98+29</f>
        <v>127</v>
      </c>
      <c r="F82">
        <f>11080-1563-98-29</f>
        <v>9390</v>
      </c>
      <c r="G82">
        <f>1400+113+50</f>
        <v>1563</v>
      </c>
      <c r="I82" s="39">
        <f t="shared" si="2"/>
        <v>11080</v>
      </c>
      <c r="J82">
        <f>3400+1200</f>
        <v>4600</v>
      </c>
    </row>
    <row r="83" spans="1:10" ht="16.5">
      <c r="A83" s="21" t="s">
        <v>210</v>
      </c>
      <c r="D83" s="38"/>
      <c r="E83">
        <v>2</v>
      </c>
      <c r="F83">
        <v>204</v>
      </c>
      <c r="I83" s="39">
        <f t="shared" si="2"/>
        <v>206</v>
      </c>
      <c r="J83">
        <v>0</v>
      </c>
    </row>
    <row r="84" spans="1:9" ht="16.5">
      <c r="A84" s="21" t="s">
        <v>215</v>
      </c>
      <c r="D84" s="38"/>
      <c r="G84">
        <v>158</v>
      </c>
      <c r="I84" s="39"/>
    </row>
    <row r="85" spans="1:12" ht="16.5">
      <c r="A85" s="23" t="s">
        <v>158</v>
      </c>
      <c r="B85" s="40">
        <f aca="true" t="shared" si="3" ref="B85:K85">SUM(B3:B83)</f>
        <v>51</v>
      </c>
      <c r="C85" s="40">
        <f t="shared" si="3"/>
        <v>401</v>
      </c>
      <c r="D85" s="40">
        <f t="shared" si="3"/>
        <v>3385</v>
      </c>
      <c r="E85" s="40">
        <f t="shared" si="3"/>
        <v>2737</v>
      </c>
      <c r="F85" s="40">
        <f t="shared" si="3"/>
        <v>20146</v>
      </c>
      <c r="G85" s="40">
        <f t="shared" si="3"/>
        <v>5266</v>
      </c>
      <c r="H85" s="40">
        <f t="shared" si="3"/>
        <v>1038</v>
      </c>
      <c r="I85" s="40">
        <f t="shared" si="3"/>
        <v>29187</v>
      </c>
      <c r="J85" s="40">
        <f t="shared" si="3"/>
        <v>12400</v>
      </c>
      <c r="K85" s="40">
        <f t="shared" si="3"/>
        <v>21</v>
      </c>
      <c r="L85" t="s">
        <v>159</v>
      </c>
    </row>
    <row r="86" spans="1:11" ht="16.5">
      <c r="A86" s="9"/>
      <c r="D86" s="14"/>
      <c r="I86" s="25"/>
      <c r="J86" s="41"/>
      <c r="K86" s="37"/>
    </row>
    <row r="87" spans="1:11" ht="16.5">
      <c r="A87" s="9" t="s">
        <v>160</v>
      </c>
      <c r="C87">
        <v>2</v>
      </c>
      <c r="I87" s="25"/>
      <c r="K87" s="35"/>
    </row>
    <row r="88" spans="9:10" ht="16.5">
      <c r="I88" s="34" t="s">
        <v>161</v>
      </c>
      <c r="J88" s="32">
        <f>SUM(J85)/(I85-G85-H85)</f>
        <v>0.5418869903421755</v>
      </c>
    </row>
    <row r="89" ht="16.5">
      <c r="K89" t="s">
        <v>162</v>
      </c>
    </row>
  </sheetData>
  <mergeCells count="5">
    <mergeCell ref="K1:K2"/>
    <mergeCell ref="A1:A2"/>
    <mergeCell ref="B1:C1"/>
    <mergeCell ref="I1:I2"/>
    <mergeCell ref="J1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 HAI 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WANHAI</dc:creator>
  <cp:keywords/>
  <dc:description/>
  <cp:lastModifiedBy>WANHAI</cp:lastModifiedBy>
  <dcterms:created xsi:type="dcterms:W3CDTF">2007-02-15T03:27:45Z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